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EstaPastaDeTrabalho" defaultThemeVersion="166925"/>
  <mc:AlternateContent xmlns:mc="http://schemas.openxmlformats.org/markup-compatibility/2006">
    <mc:Choice Requires="x15">
      <x15ac:absPath xmlns:x15ac="http://schemas.microsoft.com/office/spreadsheetml/2010/11/ac" url="D:\PR Projetos\21.468.727-5 Terceirização\Diligência II\"/>
    </mc:Choice>
  </mc:AlternateContent>
  <xr:revisionPtr revIDLastSave="0" documentId="8_{B22543F1-3EF7-45D1-A2E2-8189739D64B7}" xr6:coauthVersionLast="47" xr6:coauthVersionMax="47" xr10:uidLastSave="{00000000-0000-0000-0000-000000000000}"/>
  <bookViews>
    <workbookView xWindow="-28920" yWindow="-75" windowWidth="29040" windowHeight="15840" tabRatio="916" activeTab="7" xr2:uid="{335BD6EB-1932-4BC6-88A0-EBD48E93B154}"/>
  </bookViews>
  <sheets>
    <sheet name="ENCARGOS" sheetId="6" r:id="rId1"/>
    <sheet name="Resumo" sheetId="15" r:id="rId2"/>
    <sheet name="ASSISTENTE 1" sheetId="43" r:id="rId3"/>
    <sheet name="ASSISTENTE 2" sheetId="42" r:id="rId4"/>
    <sheet name="ANALISTA 1" sheetId="41" r:id="rId5"/>
    <sheet name="ANALISTA 2" sheetId="44" r:id="rId6"/>
    <sheet name="ANALISTA 3" sheetId="40" r:id="rId7"/>
    <sheet name="ANALISTA 4" sheetId="33" r:id="rId8"/>
    <sheet name="Calculo SPED" sheetId="45" r:id="rId9"/>
  </sheets>
  <definedNames>
    <definedName name="_xlnm.Print_Area" localSheetId="4">'ANALISTA 1'!$A$1:$D$120</definedName>
    <definedName name="_xlnm.Print_Area" localSheetId="5">'ANALISTA 2'!$A$1:$D$119</definedName>
    <definedName name="_xlnm.Print_Area" localSheetId="6">'ANALISTA 3'!$A$1:$D$119</definedName>
    <definedName name="_xlnm.Print_Area" localSheetId="7">'ANALISTA 4'!$A$1:$D$120</definedName>
    <definedName name="_xlnm.Print_Area" localSheetId="2">'ASSISTENTE 1'!$A$1:$D$119</definedName>
    <definedName name="_xlnm.Print_Area" localSheetId="3">'ASSISTENTE 2'!$A$1:$D$119</definedName>
    <definedName name="_xlnm.Print_Area" localSheetId="8">'Calculo SPED'!$A$1:$J$21</definedName>
    <definedName name="_xlnm.Print_Area" localSheetId="0">ENCARGOS!$A$1:$D$50</definedName>
    <definedName name="_xlnm.Print_Area" localSheetId="1">Resumo!$A$1:$H$20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6" i="45" l="1"/>
  <c r="F16" i="45"/>
  <c r="C16" i="45"/>
  <c r="D53" i="43"/>
  <c r="E118" i="43"/>
  <c r="E119" i="43" s="1"/>
  <c r="D53" i="40" l="1"/>
  <c r="D53" i="44"/>
  <c r="D53" i="41"/>
  <c r="D53" i="42"/>
  <c r="D53" i="33"/>
  <c r="E118" i="33" l="1"/>
  <c r="E119" i="33" s="1"/>
  <c r="E118" i="40"/>
  <c r="E119" i="40" s="1"/>
  <c r="E118" i="44"/>
  <c r="E119" i="44" s="1"/>
  <c r="E118" i="41"/>
  <c r="E119" i="41" s="1"/>
  <c r="E118" i="42"/>
  <c r="E119" i="42" s="1"/>
  <c r="C96" i="33" l="1"/>
  <c r="C96" i="40"/>
  <c r="C96" i="44"/>
  <c r="C96" i="41"/>
  <c r="C96" i="42"/>
  <c r="D92" i="42"/>
  <c r="D92" i="41"/>
  <c r="D92" i="44"/>
  <c r="D92" i="40"/>
  <c r="D92" i="33"/>
  <c r="D92" i="43"/>
  <c r="I15" i="45" l="1"/>
  <c r="F15" i="45"/>
  <c r="I14" i="45"/>
  <c r="F14" i="45"/>
  <c r="I13" i="45"/>
  <c r="F13" i="45"/>
  <c r="I12" i="45"/>
  <c r="F12" i="45"/>
  <c r="I11" i="45"/>
  <c r="F11" i="45"/>
  <c r="I10" i="45"/>
  <c r="F10" i="45"/>
  <c r="I9" i="45"/>
  <c r="F9" i="45"/>
  <c r="I8" i="45"/>
  <c r="F8" i="45"/>
  <c r="I7" i="45"/>
  <c r="F7" i="45"/>
  <c r="I6" i="45"/>
  <c r="F6" i="45"/>
  <c r="I5" i="45"/>
  <c r="F5" i="45"/>
  <c r="I4" i="45"/>
  <c r="F4" i="45"/>
  <c r="C100" i="43" l="1"/>
  <c r="C100" i="44"/>
  <c r="C100" i="42"/>
  <c r="C100" i="41"/>
  <c r="C105" i="41" s="1"/>
  <c r="C100" i="33"/>
  <c r="C100" i="40"/>
  <c r="C105" i="40" s="1"/>
  <c r="C101" i="43"/>
  <c r="C101" i="33"/>
  <c r="C101" i="41"/>
  <c r="C101" i="40"/>
  <c r="C101" i="42"/>
  <c r="C101" i="44"/>
  <c r="C105" i="44" s="1"/>
  <c r="D26" i="33"/>
  <c r="D52" i="33" s="1"/>
  <c r="D26" i="43"/>
  <c r="D26" i="42"/>
  <c r="D26" i="41"/>
  <c r="D52" i="41" s="1"/>
  <c r="D58" i="41" s="1"/>
  <c r="D26" i="44"/>
  <c r="D52" i="44" s="1"/>
  <c r="D26" i="40"/>
  <c r="D52" i="40" s="1"/>
  <c r="D58" i="40" s="1"/>
  <c r="D13" i="15"/>
  <c r="D12" i="15"/>
  <c r="D11" i="15"/>
  <c r="D10" i="15"/>
  <c r="D9" i="15"/>
  <c r="D8" i="15"/>
  <c r="A119" i="43"/>
  <c r="C82" i="43"/>
  <c r="C81" i="43"/>
  <c r="C80" i="43"/>
  <c r="C79" i="43"/>
  <c r="C78" i="43"/>
  <c r="C77" i="43"/>
  <c r="C72" i="43"/>
  <c r="C71" i="43"/>
  <c r="C70" i="43"/>
  <c r="C69" i="43"/>
  <c r="C68" i="43"/>
  <c r="C67" i="43"/>
  <c r="C49" i="43"/>
  <c r="C48" i="43"/>
  <c r="C47" i="43"/>
  <c r="C46" i="43"/>
  <c r="C45" i="43"/>
  <c r="C44" i="43"/>
  <c r="C43" i="43"/>
  <c r="C42" i="43"/>
  <c r="C39" i="43"/>
  <c r="C38" i="43"/>
  <c r="D32" i="43"/>
  <c r="D87" i="43" s="1"/>
  <c r="D27" i="43"/>
  <c r="B26" i="43"/>
  <c r="C21" i="43"/>
  <c r="C8" i="15" s="1"/>
  <c r="A119" i="42"/>
  <c r="C82" i="42"/>
  <c r="C81" i="42"/>
  <c r="C80" i="42"/>
  <c r="C79" i="42"/>
  <c r="C78" i="42"/>
  <c r="C77" i="42"/>
  <c r="C72" i="42"/>
  <c r="C71" i="42"/>
  <c r="C70" i="42"/>
  <c r="C69" i="42"/>
  <c r="C68" i="42"/>
  <c r="C67" i="42"/>
  <c r="C49" i="42"/>
  <c r="C48" i="42"/>
  <c r="C47" i="42"/>
  <c r="C46" i="42"/>
  <c r="C45" i="42"/>
  <c r="C44" i="42"/>
  <c r="C43" i="42"/>
  <c r="C42" i="42"/>
  <c r="C39" i="42"/>
  <c r="C38" i="42"/>
  <c r="D32" i="42"/>
  <c r="D87" i="42" s="1"/>
  <c r="D27" i="42"/>
  <c r="D28" i="42"/>
  <c r="B26" i="42"/>
  <c r="C21" i="42"/>
  <c r="C9" i="15" s="1"/>
  <c r="A119" i="41"/>
  <c r="C82" i="41"/>
  <c r="C81" i="41"/>
  <c r="C80" i="41"/>
  <c r="C79" i="41"/>
  <c r="C78" i="41"/>
  <c r="C77" i="41"/>
  <c r="C72" i="41"/>
  <c r="C71" i="41"/>
  <c r="C70" i="41"/>
  <c r="C69" i="41"/>
  <c r="C68" i="41"/>
  <c r="C67" i="41"/>
  <c r="C49" i="41"/>
  <c r="C48" i="41"/>
  <c r="C47" i="41"/>
  <c r="C46" i="41"/>
  <c r="C45" i="41"/>
  <c r="C44" i="41"/>
  <c r="C43" i="41"/>
  <c r="C42" i="41"/>
  <c r="C39" i="41"/>
  <c r="C38" i="41"/>
  <c r="D32" i="41"/>
  <c r="D87" i="41" s="1"/>
  <c r="D27" i="41"/>
  <c r="B26" i="41"/>
  <c r="C21" i="41"/>
  <c r="C10" i="15" s="1"/>
  <c r="A119" i="44"/>
  <c r="C82" i="44"/>
  <c r="C81" i="44"/>
  <c r="C80" i="44"/>
  <c r="C79" i="44"/>
  <c r="C78" i="44"/>
  <c r="C77" i="44"/>
  <c r="C72" i="44"/>
  <c r="C71" i="44"/>
  <c r="C70" i="44"/>
  <c r="C69" i="44"/>
  <c r="C68" i="44"/>
  <c r="C67" i="44"/>
  <c r="C49" i="44"/>
  <c r="C48" i="44"/>
  <c r="C47" i="44"/>
  <c r="C46" i="44"/>
  <c r="C45" i="44"/>
  <c r="C44" i="44"/>
  <c r="C43" i="44"/>
  <c r="C42" i="44"/>
  <c r="C39" i="44"/>
  <c r="C38" i="44"/>
  <c r="D32" i="44"/>
  <c r="D87" i="44" s="1"/>
  <c r="D27" i="44"/>
  <c r="B26" i="44"/>
  <c r="C21" i="44"/>
  <c r="C11" i="15" s="1"/>
  <c r="A119" i="40"/>
  <c r="C82" i="40"/>
  <c r="C81" i="40"/>
  <c r="C80" i="40"/>
  <c r="C79" i="40"/>
  <c r="C78" i="40"/>
  <c r="C77" i="40"/>
  <c r="C72" i="40"/>
  <c r="C71" i="40"/>
  <c r="C70" i="40"/>
  <c r="C69" i="40"/>
  <c r="C68" i="40"/>
  <c r="C67" i="40"/>
  <c r="C49" i="40"/>
  <c r="C48" i="40"/>
  <c r="C47" i="40"/>
  <c r="C46" i="40"/>
  <c r="C45" i="40"/>
  <c r="C44" i="40"/>
  <c r="C43" i="40"/>
  <c r="C42" i="40"/>
  <c r="C39" i="40"/>
  <c r="C38" i="40"/>
  <c r="C40" i="40" s="1"/>
  <c r="D32" i="40"/>
  <c r="D87" i="40" s="1"/>
  <c r="D27" i="40"/>
  <c r="B26" i="40"/>
  <c r="C21" i="40"/>
  <c r="C12" i="15" s="1"/>
  <c r="C40" i="44" l="1"/>
  <c r="D28" i="43"/>
  <c r="D52" i="43"/>
  <c r="C105" i="42"/>
  <c r="C105" i="43"/>
  <c r="C50" i="40"/>
  <c r="C40" i="42"/>
  <c r="D62" i="40"/>
  <c r="C83" i="40"/>
  <c r="C83" i="44"/>
  <c r="C50" i="44"/>
  <c r="C73" i="44"/>
  <c r="C40" i="41"/>
  <c r="C83" i="41"/>
  <c r="C50" i="41"/>
  <c r="C73" i="41"/>
  <c r="C83" i="42"/>
  <c r="C50" i="42"/>
  <c r="C73" i="42"/>
  <c r="C40" i="43"/>
  <c r="C83" i="43"/>
  <c r="C50" i="43"/>
  <c r="C73" i="43"/>
  <c r="D58" i="44"/>
  <c r="D62" i="44" s="1"/>
  <c r="D52" i="42"/>
  <c r="D28" i="40"/>
  <c r="D34" i="40" s="1"/>
  <c r="D28" i="44"/>
  <c r="D34" i="44" s="1"/>
  <c r="D28" i="41"/>
  <c r="D34" i="41" s="1"/>
  <c r="D62" i="41"/>
  <c r="D34" i="42"/>
  <c r="D77" i="42" s="1"/>
  <c r="D34" i="43"/>
  <c r="C73" i="40"/>
  <c r="D27" i="33"/>
  <c r="D32" i="33"/>
  <c r="D69" i="43" l="1"/>
  <c r="D109" i="43"/>
  <c r="D58" i="42"/>
  <c r="D62" i="42" s="1"/>
  <c r="D58" i="43"/>
  <c r="D62" i="43" s="1"/>
  <c r="D71" i="42"/>
  <c r="D68" i="42"/>
  <c r="D67" i="43"/>
  <c r="D38" i="43"/>
  <c r="D39" i="43"/>
  <c r="D67" i="42"/>
  <c r="D38" i="42"/>
  <c r="D39" i="42"/>
  <c r="D109" i="42"/>
  <c r="D69" i="42"/>
  <c r="D80" i="42"/>
  <c r="D79" i="42"/>
  <c r="D70" i="42"/>
  <c r="D82" i="42"/>
  <c r="D81" i="42"/>
  <c r="D72" i="42"/>
  <c r="D78" i="42"/>
  <c r="D68" i="43"/>
  <c r="D79" i="43"/>
  <c r="D80" i="43"/>
  <c r="D81" i="40"/>
  <c r="D72" i="40"/>
  <c r="D79" i="40"/>
  <c r="D82" i="40"/>
  <c r="D70" i="40"/>
  <c r="D67" i="40"/>
  <c r="D39" i="40"/>
  <c r="D69" i="40"/>
  <c r="D77" i="40"/>
  <c r="D80" i="40"/>
  <c r="D71" i="40"/>
  <c r="D109" i="40"/>
  <c r="D78" i="40"/>
  <c r="D68" i="40"/>
  <c r="D38" i="40"/>
  <c r="D69" i="44"/>
  <c r="D79" i="44"/>
  <c r="D80" i="44"/>
  <c r="D71" i="44"/>
  <c r="D109" i="44"/>
  <c r="D38" i="44"/>
  <c r="D81" i="44"/>
  <c r="D70" i="44"/>
  <c r="D77" i="44"/>
  <c r="D78" i="44"/>
  <c r="D68" i="44"/>
  <c r="D39" i="44"/>
  <c r="D72" i="44"/>
  <c r="D82" i="44"/>
  <c r="D67" i="44"/>
  <c r="D69" i="41"/>
  <c r="D82" i="41"/>
  <c r="D79" i="41"/>
  <c r="D80" i="41"/>
  <c r="D68" i="41"/>
  <c r="D109" i="41"/>
  <c r="D39" i="41"/>
  <c r="D38" i="41"/>
  <c r="D67" i="41"/>
  <c r="D81" i="41"/>
  <c r="D71" i="41"/>
  <c r="D77" i="41"/>
  <c r="D78" i="41"/>
  <c r="D72" i="41"/>
  <c r="D70" i="41"/>
  <c r="D70" i="43"/>
  <c r="D82" i="43"/>
  <c r="D81" i="43"/>
  <c r="D71" i="43"/>
  <c r="D72" i="43"/>
  <c r="D78" i="43"/>
  <c r="D77" i="43"/>
  <c r="D14" i="15"/>
  <c r="D40" i="43" l="1"/>
  <c r="D47" i="43" s="1"/>
  <c r="D73" i="42"/>
  <c r="D111" i="42" s="1"/>
  <c r="D83" i="42"/>
  <c r="D86" i="42" s="1"/>
  <c r="D88" i="42" s="1"/>
  <c r="D112" i="42" s="1"/>
  <c r="D40" i="40"/>
  <c r="D60" i="40" s="1"/>
  <c r="D73" i="40"/>
  <c r="D111" i="40" s="1"/>
  <c r="D40" i="41"/>
  <c r="D60" i="41" s="1"/>
  <c r="D40" i="42"/>
  <c r="D44" i="42" s="1"/>
  <c r="D73" i="43"/>
  <c r="D111" i="43" s="1"/>
  <c r="D83" i="40"/>
  <c r="D86" i="40" s="1"/>
  <c r="D88" i="40" s="1"/>
  <c r="D112" i="40" s="1"/>
  <c r="D83" i="44"/>
  <c r="D86" i="44" s="1"/>
  <c r="D88" i="44" s="1"/>
  <c r="D112" i="44" s="1"/>
  <c r="D73" i="44"/>
  <c r="D111" i="44" s="1"/>
  <c r="D83" i="41"/>
  <c r="D86" i="41" s="1"/>
  <c r="D88" i="41" s="1"/>
  <c r="D112" i="41" s="1"/>
  <c r="D83" i="43"/>
  <c r="D86" i="43" s="1"/>
  <c r="D88" i="43" s="1"/>
  <c r="D112" i="43" s="1"/>
  <c r="D42" i="40"/>
  <c r="D43" i="40"/>
  <c r="D40" i="44"/>
  <c r="D73" i="41"/>
  <c r="D111" i="41" s="1"/>
  <c r="D46" i="40" l="1"/>
  <c r="D45" i="40"/>
  <c r="D42" i="43"/>
  <c r="D45" i="43"/>
  <c r="D48" i="43"/>
  <c r="D60" i="43"/>
  <c r="D46" i="43"/>
  <c r="D44" i="43"/>
  <c r="D43" i="43"/>
  <c r="D49" i="43"/>
  <c r="D48" i="40"/>
  <c r="D49" i="40"/>
  <c r="D47" i="40"/>
  <c r="D48" i="41"/>
  <c r="D46" i="41"/>
  <c r="D42" i="41"/>
  <c r="D49" i="42"/>
  <c r="D49" i="41"/>
  <c r="D43" i="41"/>
  <c r="D44" i="40"/>
  <c r="D47" i="41"/>
  <c r="D45" i="41"/>
  <c r="D44" i="41"/>
  <c r="D47" i="42"/>
  <c r="D60" i="42"/>
  <c r="D45" i="42"/>
  <c r="D42" i="42"/>
  <c r="D48" i="42"/>
  <c r="D46" i="42"/>
  <c r="D43" i="42"/>
  <c r="D93" i="44"/>
  <c r="D113" i="44" s="1"/>
  <c r="D93" i="33"/>
  <c r="D113" i="33" s="1"/>
  <c r="D93" i="43"/>
  <c r="D113" i="43" s="1"/>
  <c r="D93" i="41"/>
  <c r="D113" i="41" s="1"/>
  <c r="D93" i="40"/>
  <c r="D113" i="40" s="1"/>
  <c r="D60" i="44"/>
  <c r="D48" i="44"/>
  <c r="D47" i="44"/>
  <c r="D49" i="44"/>
  <c r="D45" i="44"/>
  <c r="D44" i="44"/>
  <c r="D46" i="44"/>
  <c r="D43" i="44"/>
  <c r="D42" i="44"/>
  <c r="A119" i="33"/>
  <c r="C105" i="33"/>
  <c r="C82" i="33"/>
  <c r="C81" i="33"/>
  <c r="C80" i="33"/>
  <c r="C79" i="33"/>
  <c r="C78" i="33"/>
  <c r="C77" i="33"/>
  <c r="C72" i="33"/>
  <c r="C71" i="33"/>
  <c r="C70" i="33"/>
  <c r="C69" i="33"/>
  <c r="C68" i="33"/>
  <c r="C67" i="33"/>
  <c r="C49" i="33"/>
  <c r="C48" i="33"/>
  <c r="C47" i="33"/>
  <c r="C46" i="33"/>
  <c r="C45" i="33"/>
  <c r="C44" i="33"/>
  <c r="C43" i="33"/>
  <c r="C42" i="33"/>
  <c r="C39" i="33"/>
  <c r="C38" i="33"/>
  <c r="D87" i="33"/>
  <c r="B26" i="33"/>
  <c r="C21" i="33"/>
  <c r="C13" i="15" s="1"/>
  <c r="D50" i="40" l="1"/>
  <c r="D61" i="40" s="1"/>
  <c r="D63" i="40" s="1"/>
  <c r="D110" i="40" s="1"/>
  <c r="D50" i="43"/>
  <c r="D61" i="43" s="1"/>
  <c r="D63" i="43" s="1"/>
  <c r="D110" i="43" s="1"/>
  <c r="D114" i="43" s="1"/>
  <c r="D50" i="41"/>
  <c r="D61" i="41" s="1"/>
  <c r="D63" i="41" s="1"/>
  <c r="D110" i="41" s="1"/>
  <c r="D114" i="41" s="1"/>
  <c r="D50" i="42"/>
  <c r="D61" i="42" s="1"/>
  <c r="D63" i="42" s="1"/>
  <c r="D110" i="42" s="1"/>
  <c r="D114" i="40"/>
  <c r="D93" i="42"/>
  <c r="D113" i="42" s="1"/>
  <c r="D50" i="44"/>
  <c r="D61" i="44" s="1"/>
  <c r="D63" i="44" s="1"/>
  <c r="D110" i="44" s="1"/>
  <c r="D114" i="44" s="1"/>
  <c r="D58" i="33"/>
  <c r="D62" i="33" s="1"/>
  <c r="C40" i="33"/>
  <c r="C83" i="33"/>
  <c r="C50" i="33"/>
  <c r="C73" i="33"/>
  <c r="D28" i="33"/>
  <c r="D34" i="33" s="1"/>
  <c r="D114" i="42" l="1"/>
  <c r="D96" i="43"/>
  <c r="D96" i="40"/>
  <c r="D96" i="41"/>
  <c r="D96" i="44"/>
  <c r="D109" i="33"/>
  <c r="D81" i="33"/>
  <c r="D79" i="33"/>
  <c r="D77" i="33"/>
  <c r="D80" i="33"/>
  <c r="D39" i="33"/>
  <c r="D38" i="33"/>
  <c r="D82" i="33"/>
  <c r="D78" i="33"/>
  <c r="D71" i="33"/>
  <c r="D72" i="33"/>
  <c r="D68" i="33"/>
  <c r="D67" i="33"/>
  <c r="D70" i="33"/>
  <c r="D69" i="33"/>
  <c r="D97" i="43" l="1"/>
  <c r="D97" i="41"/>
  <c r="D101" i="41" s="1"/>
  <c r="D97" i="44"/>
  <c r="D97" i="40"/>
  <c r="D96" i="42"/>
  <c r="D40" i="33"/>
  <c r="D83" i="33"/>
  <c r="D86" i="33" s="1"/>
  <c r="D88" i="33" s="1"/>
  <c r="D112" i="33" s="1"/>
  <c r="D73" i="33"/>
  <c r="D111" i="33" s="1"/>
  <c r="D100" i="41" l="1"/>
  <c r="D104" i="41" s="1"/>
  <c r="D105" i="41" s="1"/>
  <c r="D115" i="41" s="1"/>
  <c r="D116" i="41" s="1"/>
  <c r="D100" i="40"/>
  <c r="D100" i="44"/>
  <c r="D100" i="43"/>
  <c r="D101" i="43"/>
  <c r="D97" i="42"/>
  <c r="D100" i="42" s="1"/>
  <c r="D101" i="44"/>
  <c r="D101" i="40"/>
  <c r="D60" i="33"/>
  <c r="D42" i="33"/>
  <c r="D43" i="33"/>
  <c r="D45" i="33"/>
  <c r="D44" i="33"/>
  <c r="D48" i="33"/>
  <c r="D49" i="33"/>
  <c r="D47" i="33"/>
  <c r="D46" i="33"/>
  <c r="D117" i="41" l="1"/>
  <c r="E10" i="15"/>
  <c r="D104" i="44"/>
  <c r="D105" i="44" s="1"/>
  <c r="D115" i="44" s="1"/>
  <c r="D116" i="44" s="1"/>
  <c r="D104" i="40"/>
  <c r="D105" i="40" s="1"/>
  <c r="D115" i="40" s="1"/>
  <c r="D116" i="40" s="1"/>
  <c r="D104" i="43"/>
  <c r="D105" i="43" s="1"/>
  <c r="D101" i="42"/>
  <c r="D104" i="42" s="1"/>
  <c r="D105" i="42" s="1"/>
  <c r="D115" i="42" s="1"/>
  <c r="D116" i="42" s="1"/>
  <c r="D118" i="41"/>
  <c r="D50" i="33"/>
  <c r="D61" i="33" s="1"/>
  <c r="D63" i="33" s="1"/>
  <c r="D110" i="33" s="1"/>
  <c r="D114" i="33" s="1"/>
  <c r="D117" i="40" l="1"/>
  <c r="E12" i="15"/>
  <c r="D117" i="42"/>
  <c r="D118" i="42" s="1"/>
  <c r="E9" i="15"/>
  <c r="D117" i="44"/>
  <c r="D118" i="44" s="1"/>
  <c r="E11" i="15"/>
  <c r="D115" i="43"/>
  <c r="D116" i="43" s="1"/>
  <c r="D118" i="40"/>
  <c r="F10" i="15"/>
  <c r="G10" i="15" s="1"/>
  <c r="D96" i="33"/>
  <c r="D117" i="43" l="1"/>
  <c r="E8" i="15"/>
  <c r="D118" i="43"/>
  <c r="F11" i="15"/>
  <c r="G11" i="15" s="1"/>
  <c r="F9" i="15"/>
  <c r="G9" i="15" s="1"/>
  <c r="F12" i="15"/>
  <c r="G12" i="15" s="1"/>
  <c r="D97" i="33"/>
  <c r="F8" i="15" l="1"/>
  <c r="D100" i="33"/>
  <c r="D101" i="33"/>
  <c r="G8" i="15" l="1"/>
  <c r="D104" i="33"/>
  <c r="D105" i="33" s="1"/>
  <c r="D115" i="33" s="1"/>
  <c r="C42" i="6"/>
  <c r="C39" i="6"/>
  <c r="C22" i="6"/>
  <c r="C12" i="6"/>
  <c r="D116" i="33" l="1"/>
  <c r="E13" i="15" s="1"/>
  <c r="E14" i="15" s="1"/>
  <c r="C30" i="6"/>
  <c r="C44" i="6" s="1"/>
  <c r="D117" i="33" l="1"/>
  <c r="F13" i="15"/>
  <c r="F14" i="15" s="1"/>
  <c r="D118" i="33" l="1"/>
  <c r="G13" i="15"/>
  <c r="D16" i="15"/>
  <c r="G14" i="15" l="1"/>
  <c r="D17"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SAMSUNG</author>
  </authors>
  <commentList>
    <comment ref="C47" authorId="0" shapeId="0" xr:uid="{FEFEAD9B-C06C-4B79-B0D9-B33702D3EF54}">
      <text>
        <r>
          <rPr>
            <b/>
            <sz val="9"/>
            <color indexed="81"/>
            <rFont val="Segoe UI"/>
            <family val="2"/>
          </rPr>
          <t>SAMSUNG:</t>
        </r>
        <r>
          <rPr>
            <sz val="9"/>
            <color indexed="81"/>
            <rFont val="Segoe UI"/>
            <family val="2"/>
          </rPr>
          <t xml:space="preserve">
Vale transporte diário por empregado
</t>
        </r>
      </text>
    </comment>
    <comment ref="C48" authorId="0" shapeId="0" xr:uid="{E3ACE465-0878-4AE8-BBB2-1CCABB3EE1E7}">
      <text>
        <r>
          <rPr>
            <b/>
            <sz val="9"/>
            <color indexed="81"/>
            <rFont val="Segoe UI"/>
            <family val="2"/>
          </rPr>
          <t>SAMSUNG:</t>
        </r>
        <r>
          <rPr>
            <sz val="9"/>
            <color indexed="81"/>
            <rFont val="Segoe UI"/>
            <family val="2"/>
          </rPr>
          <t xml:space="preserve">
Auxílio alimentação diário por empregado</t>
        </r>
      </text>
    </comment>
  </commentList>
</comments>
</file>

<file path=xl/sharedStrings.xml><?xml version="1.0" encoding="utf-8"?>
<sst xmlns="http://schemas.openxmlformats.org/spreadsheetml/2006/main" count="1188" uniqueCount="189">
  <si>
    <t xml:space="preserve"> </t>
  </si>
  <si>
    <t>FGTS</t>
  </si>
  <si>
    <t>INSS</t>
  </si>
  <si>
    <t>PLANILHA DE CUSTOS E FORMAÇÃO DE PREÇOS</t>
  </si>
  <si>
    <t>Município/UF</t>
  </si>
  <si>
    <t>Ano Acordo, Convenção ou Sentença Normativa em Dissídio</t>
  </si>
  <si>
    <t>Nº de meses de execução contratual</t>
  </si>
  <si>
    <t>IDENTIFICAÇÃO DOS SERVIÇOS</t>
  </si>
  <si>
    <t>Unidade de Medida</t>
  </si>
  <si>
    <t>Quantidade Total à Contratar (em função da unidade de medida)</t>
  </si>
  <si>
    <t>Dados complementares para composição dos custos referente à mão-de-obra</t>
  </si>
  <si>
    <t>Tipo de Serviço (mesmo serviço com caracteristicas distintas)</t>
  </si>
  <si>
    <t>Classificação Brasileira de Ocupação</t>
  </si>
  <si>
    <t>Categoria Profissional (Vinculada à execução contratual)</t>
  </si>
  <si>
    <t>Data base da categoria (dia/mês/ano)</t>
  </si>
  <si>
    <t>MÓDULO 1 COMPOSIÇÃO DA REMUNERAÇÃO</t>
  </si>
  <si>
    <t>Composição da Remuneração</t>
  </si>
  <si>
    <t>%</t>
  </si>
  <si>
    <t>Valor (R$)</t>
  </si>
  <si>
    <t>A</t>
  </si>
  <si>
    <t>B</t>
  </si>
  <si>
    <t>Adicional Noturno</t>
  </si>
  <si>
    <t>Adcional de Hora Noturna Reduzida</t>
  </si>
  <si>
    <t>Hora noturna adicional</t>
  </si>
  <si>
    <t>C</t>
  </si>
  <si>
    <t>D</t>
  </si>
  <si>
    <t>E</t>
  </si>
  <si>
    <t>Adicional de Hora Extra no Feriado Trabalhado (súmula 444)</t>
  </si>
  <si>
    <t>Intervalo Intrajornada</t>
  </si>
  <si>
    <t>F</t>
  </si>
  <si>
    <t>G</t>
  </si>
  <si>
    <t>H</t>
  </si>
  <si>
    <t>TOTAL</t>
  </si>
  <si>
    <t>MÓDULO 2 ENCARGOS E BENEFÍCIOS ANUAIS, MENSAIS E DIÁRIOS</t>
  </si>
  <si>
    <t>2.1</t>
  </si>
  <si>
    <t>13º (décimo terceiro) Salário, Férias e Adicional de Férias</t>
  </si>
  <si>
    <t>DETALHAMENTO DOS ENCARGOS SOCIAIS</t>
  </si>
  <si>
    <t>MÓDULO 2: ENCARGOS E BENEFÍCIOS ANUAIS, MENSAIS E DIÁRIOS</t>
  </si>
  <si>
    <t>2.1  13º Salário e Adicional Férias</t>
  </si>
  <si>
    <t>2.2 Encargos Previdenciários (GPS), Fundo de Garantia por Tempo de Serviço (FGTS) e outras contribuições.</t>
  </si>
  <si>
    <r>
      <t>A -</t>
    </r>
    <r>
      <rPr>
        <sz val="12"/>
        <color indexed="10"/>
        <rFont val="Arial Narrow"/>
        <family val="2"/>
      </rPr>
      <t xml:space="preserve"> INSS </t>
    </r>
    <r>
      <rPr>
        <sz val="12"/>
        <rFont val="Arial Narrow"/>
        <family val="2"/>
      </rPr>
      <t>–</t>
    </r>
    <r>
      <rPr>
        <sz val="12"/>
        <color indexed="10"/>
        <rFont val="Arial Narrow"/>
        <family val="2"/>
      </rPr>
      <t xml:space="preserve"> </t>
    </r>
    <r>
      <rPr>
        <sz val="12"/>
        <rFont val="Arial Narrow"/>
        <family val="2"/>
      </rPr>
      <t>Conforme o artigo 22, inciso I, da Lei 8.212/91, empresa custeia 20%.</t>
    </r>
  </si>
  <si>
    <r>
      <t xml:space="preserve">B </t>
    </r>
    <r>
      <rPr>
        <sz val="12"/>
        <color indexed="10"/>
        <rFont val="Arial Narrow"/>
        <family val="2"/>
      </rPr>
      <t xml:space="preserve">- Salário Educação </t>
    </r>
    <r>
      <rPr>
        <sz val="12"/>
        <rFont val="Arial Narrow"/>
        <family val="2"/>
      </rPr>
      <t>– A prestadora de serviços contribui com 2,5%, por determinação do art. 15, da Lei nº 9.424/96; do art. 2º do Decreto nº 3.142/99; e art. 212, § 5º da CF.</t>
    </r>
  </si>
  <si>
    <r>
      <t xml:space="preserve">C </t>
    </r>
    <r>
      <rPr>
        <sz val="12"/>
        <color indexed="10"/>
        <rFont val="Arial Narrow"/>
        <family val="2"/>
      </rPr>
      <t>- Seguro Acidente do Trabalho</t>
    </r>
    <r>
      <rPr>
        <sz val="12"/>
        <rFont val="Arial Narrow"/>
        <family val="2"/>
      </rPr>
      <t xml:space="preserve"> </t>
    </r>
    <r>
      <rPr>
        <sz val="12"/>
        <color indexed="10"/>
        <rFont val="Arial Narrow"/>
        <family val="2"/>
      </rPr>
      <t xml:space="preserve">- SAT </t>
    </r>
    <r>
      <rPr>
        <sz val="12"/>
        <rFont val="Arial Narrow"/>
        <family val="2"/>
      </rPr>
      <t>(FAP x RAT)</t>
    </r>
  </si>
  <si>
    <r>
      <t xml:space="preserve">D </t>
    </r>
    <r>
      <rPr>
        <sz val="12"/>
        <color indexed="10"/>
        <rFont val="Arial Narrow"/>
        <family val="2"/>
      </rPr>
      <t xml:space="preserve">- SESI/SESC </t>
    </r>
    <r>
      <rPr>
        <sz val="12"/>
        <rFont val="Arial Narrow"/>
        <family val="2"/>
      </rPr>
      <t>– Conforme o artigo 30 da Lei n. 8.036/90</t>
    </r>
  </si>
  <si>
    <r>
      <t xml:space="preserve">E </t>
    </r>
    <r>
      <rPr>
        <sz val="12"/>
        <color indexed="10"/>
        <rFont val="Arial Narrow"/>
        <family val="2"/>
      </rPr>
      <t xml:space="preserve">- SENAI /SENAC </t>
    </r>
    <r>
      <rPr>
        <sz val="12"/>
        <rFont val="Arial Narrow"/>
        <family val="2"/>
      </rPr>
      <t>– O contribuinte arca com 1%, em obediência ao Decreto-Lei nº 2.318/86.</t>
    </r>
  </si>
  <si>
    <r>
      <t>F -</t>
    </r>
    <r>
      <rPr>
        <sz val="12"/>
        <color indexed="10"/>
        <rFont val="Arial Narrow"/>
        <family val="2"/>
      </rPr>
      <t xml:space="preserve"> SEBRAE –</t>
    </r>
    <r>
      <rPr>
        <sz val="12"/>
        <rFont val="Arial Narrow"/>
        <family val="2"/>
      </rPr>
      <t xml:space="preserve"> O empregador, para atender à Lei nº 8.029/90, contribui com 0,6% sobre a folha de pagamento.</t>
    </r>
  </si>
  <si>
    <r>
      <rPr>
        <b/>
        <sz val="12"/>
        <color indexed="10"/>
        <rFont val="Arial Narrow"/>
        <family val="2"/>
      </rPr>
      <t>G</t>
    </r>
    <r>
      <rPr>
        <sz val="12"/>
        <color indexed="10"/>
        <rFont val="Arial Narrow"/>
        <family val="2"/>
      </rPr>
      <t xml:space="preserve"> - INCRA</t>
    </r>
    <r>
      <rPr>
        <sz val="12"/>
        <rFont val="Arial Narrow"/>
        <family val="2"/>
      </rPr>
      <t xml:space="preserve"> – A empresa participa com 0,2%, para atendimento dos artigos 1º e 2º do Decreto-Lei nº 1.146/70.</t>
    </r>
  </si>
  <si>
    <r>
      <t xml:space="preserve">H </t>
    </r>
    <r>
      <rPr>
        <sz val="12"/>
        <color indexed="10"/>
        <rFont val="Arial Narrow"/>
        <family val="2"/>
      </rPr>
      <t xml:space="preserve">- FGTS - </t>
    </r>
    <r>
      <rPr>
        <sz val="12"/>
        <rFont val="Arial Narrow"/>
        <family val="2"/>
      </rPr>
      <t>O depósito voltou a ser de 8%, como preconiza a Lei Complementar 110/2001. O tributo está previsto no art. 7º, Inciso III, da Constituição Federal, tendo sido regulamentado pela Lei nº 8.030/90, artigo 15.</t>
    </r>
  </si>
  <si>
    <t>MÓDULOS - 3  PROVISÃO PARA RESCISÃO</t>
  </si>
  <si>
    <t>MÓDULO 4 - COMPOSIÇÃO DO CUSTO DE REPOSIÇÃO DO PROFISSIONAL AUSENTE</t>
  </si>
  <si>
    <t>4.1 Ausências legais</t>
  </si>
  <si>
    <t>4.1 Intrajornada</t>
  </si>
  <si>
    <t>Intervalo para repouso ou alimentação</t>
  </si>
  <si>
    <t>Total dos encargos sociais (soma dos submódulos 2.1, 2.2, 3, 4.1 e 4.2)</t>
  </si>
  <si>
    <t>2.3</t>
  </si>
  <si>
    <t>Benefícios Mensais e Diários</t>
  </si>
  <si>
    <t>Valor Unitário/diário (R$)</t>
  </si>
  <si>
    <t>Transporte</t>
  </si>
  <si>
    <t>13º (décimo terceiro) Salário</t>
  </si>
  <si>
    <t>Férias e Adicional de Férias</t>
  </si>
  <si>
    <t>2.2</t>
  </si>
  <si>
    <t>Salário Educação</t>
  </si>
  <si>
    <t>SAT</t>
  </si>
  <si>
    <t>SESC ou SESI</t>
  </si>
  <si>
    <t>SENAI - SENAC</t>
  </si>
  <si>
    <t>SEBRAE</t>
  </si>
  <si>
    <t>INCRA</t>
  </si>
  <si>
    <t>Transportes</t>
  </si>
  <si>
    <t>Quadro Resumo do Módulo 2 - Encargos e Benefícios anuais, mensais e diários</t>
  </si>
  <si>
    <t>GPS, FGTS e outras contribuições</t>
  </si>
  <si>
    <t>MÓDULO 3 PROVISÃO PARA RECISÃO</t>
  </si>
  <si>
    <t>Provisão para Recisão</t>
  </si>
  <si>
    <t>Aviso prévio indenizado</t>
  </si>
  <si>
    <t>incidência do FGTS sobre aviso prévio indenizado</t>
  </si>
  <si>
    <t>Aviso prévio trabalhado</t>
  </si>
  <si>
    <t>Incidência dos encargos do submódulo 2.2 sobre aviso prévio trabalhado</t>
  </si>
  <si>
    <t>MÓDULO 4 CUSTO DA REPOSIÇÃO DO PROFISSIONAL AUSENTE</t>
  </si>
  <si>
    <t>4.1</t>
  </si>
  <si>
    <t>Ausências Legais</t>
  </si>
  <si>
    <t>Férias</t>
  </si>
  <si>
    <t>Licença-Paternidade</t>
  </si>
  <si>
    <t>Ausência por acidente de trabalho</t>
  </si>
  <si>
    <t>4.2</t>
  </si>
  <si>
    <t>Intrajornada</t>
  </si>
  <si>
    <t>Quadro Resumo do Módulo 4 - Custo de Reposição do Profissional ausente</t>
  </si>
  <si>
    <t>Ausencia legais</t>
  </si>
  <si>
    <t>MÓDULO 5 - INSUMOS DIVERSOS</t>
  </si>
  <si>
    <t>Insumos Diversos</t>
  </si>
  <si>
    <t>MÓDULO 5 - CUSTOS INDIRETOS, TRIBUTOS E LUCRO</t>
  </si>
  <si>
    <t>Custos Indiretos, Tributos e Lucro</t>
  </si>
  <si>
    <t>Custos Indiretos</t>
  </si>
  <si>
    <t>Lucro</t>
  </si>
  <si>
    <t>Tributos</t>
  </si>
  <si>
    <t>C1. Tributos Federais</t>
  </si>
  <si>
    <t>C1.1. PIS</t>
  </si>
  <si>
    <t>C1.2. COFINS</t>
  </si>
  <si>
    <t>C.2. Tributos Estaduais</t>
  </si>
  <si>
    <t>C.2.1. INSS</t>
  </si>
  <si>
    <t>QUADRO DE RESUMO DO CUSTO POR EMPREGADO</t>
  </si>
  <si>
    <t>Mão de obra vinculada à execução contratual (Valor por empregado)</t>
  </si>
  <si>
    <t>Módulo 1 - Composição da Remuneração</t>
  </si>
  <si>
    <t>Módulo 2 - Encargos e Benefícios Anuais, Mensais e Diários</t>
  </si>
  <si>
    <t>Módulo 3 - Provisão para Rescisão</t>
  </si>
  <si>
    <t>Módulo 4 - Custo de Reposição do Profissional Ausente</t>
  </si>
  <si>
    <t>Módulo 5 - Insumo Diversos</t>
  </si>
  <si>
    <t>Subtotal (A+B+C+D)</t>
  </si>
  <si>
    <t>Módulo 6 - Custos Indiretos, tributos e lucro</t>
  </si>
  <si>
    <t>PLANILHA DE FORMAÇÃO DE CUSTO COM UNIFORMES</t>
  </si>
  <si>
    <r>
      <rPr>
        <b/>
        <sz val="24"/>
        <color theme="4"/>
        <rFont val="Arial Narrow"/>
        <family val="2"/>
      </rPr>
      <t>Nota explicativa encargos sociais:</t>
    </r>
    <r>
      <rPr>
        <b/>
        <sz val="12"/>
        <color theme="4"/>
        <rFont val="Arial Narrow"/>
        <family val="2"/>
      </rPr>
      <t xml:space="preserve"> 
</t>
    </r>
  </si>
  <si>
    <r>
      <t xml:space="preserve">B </t>
    </r>
    <r>
      <rPr>
        <sz val="12"/>
        <color indexed="10"/>
        <rFont val="Arial Narrow"/>
        <family val="2"/>
      </rPr>
      <t>- Incidência do FGTS sobre o aviso prévio indenizado. (</t>
    </r>
    <r>
      <rPr>
        <sz val="12"/>
        <rFont val="Arial Narrow"/>
        <family val="2"/>
      </rPr>
      <t>Retificado o item “B” do Submódulo 4.4 - provisão para rescisão publicado no Diário Oficial da União n° 63, Seção I, página 92, em 1° de abril de 2011.</t>
    </r>
    <r>
      <rPr>
        <sz val="12"/>
        <color indexed="10"/>
        <rFont val="Arial Narrow"/>
        <family val="2"/>
      </rPr>
      <t xml:space="preserve">)                                                                                                </t>
    </r>
    <r>
      <rPr>
        <sz val="12"/>
        <color theme="4"/>
        <rFont val="Arial Narrow"/>
        <family val="2"/>
      </rPr>
      <t>8% x 0,42% = 0,03%</t>
    </r>
  </si>
  <si>
    <t>TOTAL MÓDULO 1</t>
  </si>
  <si>
    <t>TOTAL MÓDULO 2</t>
  </si>
  <si>
    <t>TOTAL MÓDULO 3</t>
  </si>
  <si>
    <t>TOTAL MÓDULO 5</t>
  </si>
  <si>
    <t>TOTAL MÓDULO 4</t>
  </si>
  <si>
    <t>TOTAL PARCIAL</t>
  </si>
  <si>
    <t>C.3. Tributos Municipais (iss)</t>
  </si>
  <si>
    <t>VALOR TOTAL DO POSTO</t>
  </si>
  <si>
    <t>VALOR MENSAL TOTAL</t>
  </si>
  <si>
    <t>VALOR ANUAL TOTAL</t>
  </si>
  <si>
    <t>Encargos Previdenciarios (GPS), Fundos de Garantia por Tempo de Serviço (FGTS) e outras contribuições. - Sobre remuneração e 13º e férias</t>
  </si>
  <si>
    <r>
      <t>C –</t>
    </r>
    <r>
      <rPr>
        <sz val="12"/>
        <color indexed="10"/>
        <rFont val="Arial Narrow"/>
        <family val="2"/>
      </rPr>
      <t xml:space="preserve"> Multa do FGTS do aviso prévio indenizado (Multa FGTS - Rescisão sem Justa Causa:)– </t>
    </r>
    <r>
      <rPr>
        <sz val="12"/>
        <rFont val="Arial Narrow"/>
        <family val="2"/>
      </rPr>
      <t>valor da multado FGTS.</t>
    </r>
  </si>
  <si>
    <t>Salário Normativo da Categoria Profissional 44 horas semanais</t>
  </si>
  <si>
    <t>Posto</t>
  </si>
  <si>
    <t>Quantidade</t>
  </si>
  <si>
    <t>Unitário</t>
  </si>
  <si>
    <t>Mensal Total</t>
  </si>
  <si>
    <t>Itens</t>
  </si>
  <si>
    <t>Auxílio alimentação</t>
  </si>
  <si>
    <t>Lei Complementar Municipal 40/2001, em seu Art. 13-A, estabelece que sobre os serviços enquadrados no item 17.05, os valores tocantes a folha de pagamento, e respectivos encargos sociais, não se sujeitam a base de cálculo de ISS</t>
  </si>
  <si>
    <r>
      <t>A –</t>
    </r>
    <r>
      <rPr>
        <sz val="12"/>
        <color indexed="10"/>
        <rFont val="Arial Narrow"/>
        <family val="2"/>
      </rPr>
      <t xml:space="preserve"> Férias </t>
    </r>
    <r>
      <rPr>
        <sz val="12"/>
        <rFont val="Arial Narrow"/>
        <family val="2"/>
      </rPr>
      <t>- artigo 7º, inciso XVII da Constituição Federal. Afastamento de 30 dias, sem prejuízo da remuneração, após cada período de 12 meses de vigência do contrato de trabalho. O pagamento ocorre conforme preceitua o artigo 129 e o inciso I, artigo 130, do Decreto-Lei nº  5.452/43 - CLT.</t>
    </r>
    <r>
      <rPr>
        <b/>
        <sz val="12"/>
        <color indexed="10"/>
        <rFont val="Arial Narrow"/>
        <family val="2"/>
      </rPr>
      <t xml:space="preserve">     </t>
    </r>
    <r>
      <rPr>
        <sz val="12"/>
        <color indexed="10"/>
        <rFont val="Arial Narrow"/>
        <family val="2"/>
      </rPr>
      <t xml:space="preserve">  </t>
    </r>
    <r>
      <rPr>
        <sz val="12"/>
        <color theme="4"/>
        <rFont val="Arial Narrow"/>
        <family val="2"/>
      </rPr>
      <t>1 salário x (1/12) = 0,0833</t>
    </r>
  </si>
  <si>
    <r>
      <t xml:space="preserve">B </t>
    </r>
    <r>
      <rPr>
        <sz val="12"/>
        <color indexed="10"/>
        <rFont val="Arial Narrow"/>
        <family val="2"/>
      </rPr>
      <t xml:space="preserve">-Ausençia por Doença: </t>
    </r>
    <r>
      <rPr>
        <sz val="12"/>
        <rFont val="Arial Narrow"/>
        <family val="2"/>
      </rPr>
      <t>Art.131 , inciso III, da CLT. Art. 476 da CLT, art. 6º, §1º, alínea "f", da Lei n. 605, de 1949, e art. 12, alínea "f", do Decreto n. 27.048, de 1949. "Entendemos que deva ser adotado 5,96 dias, conforme consta do memorial de cálculo encaminhado pelo MP, devendo-se converter esses dias em mês e depois dividi-lo pelo número de meses no ano. (Acórdão 1753/2008 – Plenário TCU)"</t>
    </r>
    <r>
      <rPr>
        <sz val="12"/>
        <color theme="4"/>
        <rFont val="Arial Narrow"/>
        <family val="2"/>
      </rPr>
      <t xml:space="preserve"> (5,96 dias/30 dias) x (1/12 meses) = 1,66%</t>
    </r>
  </si>
  <si>
    <r>
      <t>C -</t>
    </r>
    <r>
      <rPr>
        <sz val="12"/>
        <color indexed="10"/>
        <rFont val="Arial Narrow"/>
        <family val="2"/>
      </rPr>
      <t xml:space="preserve"> Licença Paternidade -</t>
    </r>
    <r>
      <rPr>
        <sz val="12"/>
        <rFont val="Arial Narrow"/>
        <family val="2"/>
      </rPr>
      <t xml:space="preserve"> Licença de 5 dias. Taxa de fecundidade = 6,24%. </t>
    </r>
    <r>
      <rPr>
        <b/>
        <sz val="12"/>
        <rFont val="Arial Narrow"/>
        <family val="2"/>
      </rPr>
      <t>O ônus da licença maternidade é suportada pelo INSS</t>
    </r>
    <r>
      <rPr>
        <sz val="12"/>
        <rFont val="Arial Narrow"/>
        <family val="2"/>
      </rPr>
      <t>, então calculamos apenas a participação masculina. Criada pelo art. 7º, inciso XIX da CF, combinado com o art. 10, § 1º dos Atos das Disposições Constitucionais Transitórias – ADCT -, concede ao empregado o direito de ausentar-se do serviço por cinco dias quando do nascimento de filho.</t>
    </r>
    <r>
      <rPr>
        <b/>
        <sz val="12"/>
        <color indexed="10"/>
        <rFont val="Arial Narrow"/>
        <family val="2"/>
      </rPr>
      <t xml:space="preserve"> </t>
    </r>
    <r>
      <rPr>
        <sz val="12"/>
        <color theme="4"/>
        <rFont val="Arial Narrow"/>
        <family val="2"/>
      </rPr>
      <t>(5 dias/30 dias) x 6,24% taxa * (1/12 meses) * 50% homem = 0,04%</t>
    </r>
  </si>
  <si>
    <r>
      <t>E –</t>
    </r>
    <r>
      <rPr>
        <sz val="12"/>
        <color indexed="10"/>
        <rFont val="Arial Narrow"/>
        <family val="2"/>
      </rPr>
      <t xml:space="preserve">  Ausências Legais -</t>
    </r>
    <r>
      <rPr>
        <sz val="12"/>
        <color indexed="8"/>
        <rFont val="Arial Narrow"/>
        <family val="2"/>
      </rPr>
      <t xml:space="preserve"> Ausências ao trabalho asseguradas ao empregado pelo art. 473 da CLT (morte de cônjuge, ascendente, descendente; casamento; nascimento de filho; doação de sangue; alistamento eleitoral; serviço militar; comparecer a juízo). Art. 7º, inciso XIX da CF. §1º do artigo 10 do ADCT. Lei n. 13.527/2016. Acórdãos TCU nº 1.904/2007 e nº 1.753/2008 - Plenário - 1 Dia de licença por ano. </t>
    </r>
    <r>
      <rPr>
        <sz val="12"/>
        <color theme="4"/>
        <rFont val="Arial Narrow"/>
        <family val="2"/>
      </rPr>
      <t>(1 / 30 / 12) = 0,28%</t>
    </r>
  </si>
  <si>
    <r>
      <t xml:space="preserve">D </t>
    </r>
    <r>
      <rPr>
        <sz val="12"/>
        <color indexed="10"/>
        <rFont val="Arial Narrow"/>
        <family val="2"/>
      </rPr>
      <t>– Ausência por Acidente de Trabalho</t>
    </r>
    <r>
      <rPr>
        <sz val="12"/>
        <rFont val="Arial Narrow"/>
        <family val="2"/>
      </rPr>
      <t xml:space="preserve"> - O artigo 27 do Decreto nº 89.312, de 23/01/84, obriga o empregador a assumir o ônus financeiro pelo prazo de 15 dias, no caso de acidente de trabalho previsto no art. 131 da CLT. De acordo com os números mais recentes apresentados pelo Ministério da Previdência de Assistência Social, baseados em informações prestadas pelos empregadores, por meio da GFIP, 1,78% (um vírgula setenta e oito por cento) dos empregados se acidentam no ano. Assim a provisão se faz necessária.</t>
    </r>
    <r>
      <rPr>
        <b/>
        <sz val="12"/>
        <color indexed="10"/>
        <rFont val="Arial Narrow"/>
        <family val="2"/>
      </rPr>
      <t xml:space="preserve"> </t>
    </r>
    <r>
      <rPr>
        <sz val="12"/>
        <color indexed="10"/>
        <rFont val="Arial Narrow"/>
        <family val="2"/>
      </rPr>
      <t xml:space="preserve"> </t>
    </r>
    <r>
      <rPr>
        <sz val="12"/>
        <color theme="4"/>
        <rFont val="Arial Narrow"/>
        <family val="2"/>
      </rPr>
      <t>(1 / 12) * 1,78% = 0,15%</t>
    </r>
  </si>
  <si>
    <t>Ausencia por Doença</t>
  </si>
  <si>
    <t>Licença Maternidade</t>
  </si>
  <si>
    <r>
      <t xml:space="preserve">F </t>
    </r>
    <r>
      <rPr>
        <sz val="12"/>
        <color rgb="FFFF0000"/>
        <rFont val="Arial Narrow"/>
        <family val="2"/>
      </rPr>
      <t>- Afastamento Maternidade:</t>
    </r>
    <r>
      <rPr>
        <b/>
        <sz val="12"/>
        <color indexed="10"/>
        <rFont val="Arial Narrow"/>
        <family val="2"/>
      </rPr>
      <t xml:space="preserve"> </t>
    </r>
    <r>
      <rPr>
        <sz val="12"/>
        <rFont val="Arial Narrow"/>
        <family val="2"/>
      </rPr>
      <t>Art. 7º inc. XVIII, CF, Lei 8.213/91, art. 72 e Lei 11770/2008. Lei n. 13.527/2016. Art. 86 da IN RFB 971/2009. Cabe à empresa a provisão relativa a férias (1/12) e adicional de férias (1/3 x 1/12) e as contribuições previdenciárias sobre o período de licença, vezes pelo percentual de mulheres por vaga, vezes o percentual de ocorrencia de afastamento conforme relatório RAIS MTE vezes 04 meses de licença.</t>
    </r>
    <r>
      <rPr>
        <sz val="12"/>
        <color theme="4"/>
        <rFont val="Arial Narrow"/>
        <family val="2"/>
      </rPr>
      <t xml:space="preserve"> [1/12+(1/3*1/12)] *24% *22% </t>
    </r>
    <r>
      <rPr>
        <b/>
        <sz val="12"/>
        <color theme="4"/>
        <rFont val="Arial Narrow"/>
        <family val="2"/>
      </rPr>
      <t>*</t>
    </r>
    <r>
      <rPr>
        <sz val="12"/>
        <color theme="4"/>
        <rFont val="Arial Narrow"/>
        <family val="2"/>
      </rPr>
      <t>(4/12)</t>
    </r>
  </si>
  <si>
    <r>
      <t xml:space="preserve">A - </t>
    </r>
    <r>
      <rPr>
        <sz val="12"/>
        <color indexed="10"/>
        <rFont val="Arial Narrow"/>
        <family val="2"/>
      </rPr>
      <t xml:space="preserve">Aviso Prévio indenizado - </t>
    </r>
    <r>
      <rPr>
        <sz val="12"/>
        <rFont val="Arial Narrow"/>
        <family val="2"/>
      </rPr>
      <t xml:space="preserve">FUNDAMENTAÇÃO LEGAL: - Constituição Federal de 1988 (Art. 7°, inciso XXI) e CLT (Art. 477, art. 487 a 491 - Estudos CNJ – Resolução 98/2009: Aviso Prévio indenizado - Trata-se de valor devido ao empregado no caso de o empregador rescindir o contrato sem justo motivo e sem lhe conceder aviso prévio, conforme disposto no § 1º do art. 487 da CLT.                </t>
    </r>
    <r>
      <rPr>
        <sz val="12"/>
        <color theme="4"/>
        <rFont val="Arial Narrow"/>
        <family val="2"/>
      </rPr>
      <t>1 salário integral x (1 mês não trabalhado / 12 meses) x 5,5% estatística = 0,42%</t>
    </r>
  </si>
  <si>
    <r>
      <t xml:space="preserve">A </t>
    </r>
    <r>
      <rPr>
        <sz val="12"/>
        <color indexed="10"/>
        <rFont val="Arial Narrow"/>
        <family val="2"/>
      </rPr>
      <t xml:space="preserve">- 13º Salário </t>
    </r>
    <r>
      <rPr>
        <sz val="12"/>
        <rFont val="Arial Narrow"/>
        <family val="2"/>
      </rPr>
      <t>- Gratificação de Natal, instituída pela Lei nº 4.090, de 13 de julho de 1962. A provisão mensal representa 1/12 da folha para que ao final do período complete um salário. 1/12 = 8,33%</t>
    </r>
  </si>
  <si>
    <r>
      <t>B –</t>
    </r>
    <r>
      <rPr>
        <sz val="12"/>
        <color indexed="10"/>
        <rFont val="Arial Narrow"/>
        <family val="2"/>
      </rPr>
      <t xml:space="preserve"> Férias </t>
    </r>
    <r>
      <rPr>
        <sz val="12"/>
        <rFont val="Arial Narrow"/>
        <family val="2"/>
      </rPr>
      <t>- artigo 7º, inciso XVII da Constituição Federal. Afastamento de 30 dias, sem prejuízo da remuneração, após cada período de 12 meses de vigência do contrato de trabalho e  artigo 129 e o inciso I, artigo 130, do Decreto-Lei nº  5.452/43 - CLT. Adicional de Férias, Conforme artigo 7º, inciso XVII da Constituição Federal, paga-se 1/3 do salário ao empregado quando do gozo das ferias. (1/11)*100=9,075% (IN SEGES 05/2017) + ((1/12)x(1/3))x100 = 3,025%</t>
    </r>
  </si>
  <si>
    <r>
      <t>D –</t>
    </r>
    <r>
      <rPr>
        <sz val="12"/>
        <color indexed="10"/>
        <rFont val="Arial Narrow"/>
        <family val="2"/>
      </rPr>
      <t xml:space="preserve"> Aviso prévio trabalhado</t>
    </r>
    <r>
      <rPr>
        <sz val="12"/>
        <rFont val="Arial Narrow"/>
        <family val="2"/>
      </rPr>
      <t xml:space="preserve"> – FUNDAMENTAÇÃO LEGAL: - Jurisprudência - TCU (Acórdão 3.006/2010 – Plenário - vide apêndice pág. 53) -  Estudos CNJ – Resolução 98/2009 - Aviso Prévio: Refere-se à indenização de sete dias corridos devida ao empregado no caso de o empregador rescindir o contrato sem justo motivo e conceder aviso prévio, conforme disposto no art. 488 da CLT.                  </t>
    </r>
    <r>
      <rPr>
        <sz val="12"/>
        <color theme="4"/>
        <rFont val="Arial Narrow"/>
        <family val="2"/>
      </rPr>
      <t>[(1 salário integral / 30 dias) x 7 dias] / 12 meses = 1,94% é o índice
Base de Cálculo = Módulo 1 + Módulo 2 + 13º + Adicional de Férias
Cálculo: (Base de Cálculo) x 1,94%</t>
    </r>
  </si>
  <si>
    <r>
      <rPr>
        <b/>
        <sz val="12"/>
        <color indexed="10"/>
        <rFont val="Arial Narrow"/>
        <family val="2"/>
      </rPr>
      <t>E</t>
    </r>
    <r>
      <rPr>
        <sz val="12"/>
        <color indexed="10"/>
        <rFont val="Arial Narrow"/>
        <family val="2"/>
      </rPr>
      <t xml:space="preserve"> - Incidência dos encargos do submódulo 2.2 sobre aviso prévio trabalhado.                                                                                                                                                                                                                       </t>
    </r>
    <r>
      <rPr>
        <sz val="12"/>
        <color theme="4"/>
        <rFont val="Arial Narrow"/>
        <family val="2"/>
      </rPr>
      <t>(Submódulo 4.1) x 1,94%
Exemplo: 34,80% x 1,94% = 0,68% seria o índice
Base de Cálculo = Módulo 1 + Módulo 2 + 13º + Adicional de Férias</t>
    </r>
  </si>
  <si>
    <t>Adicional de periculosidade/insalubridade</t>
  </si>
  <si>
    <t>Auxilio Alimentação</t>
  </si>
  <si>
    <r>
      <t>F–</t>
    </r>
    <r>
      <rPr>
        <sz val="12"/>
        <color indexed="10"/>
        <rFont val="Arial Narrow"/>
        <family val="2"/>
      </rPr>
      <t xml:space="preserve">  Contribuição social sobre aviso prévio trabalhado (Multa FGTS - Rescisão sem Justa Causa:)–</t>
    </r>
    <r>
      <rPr>
        <sz val="12"/>
        <rFont val="Arial Narrow"/>
        <family val="2"/>
      </rPr>
      <t xml:space="preserve"> Prevista no art. 9º da Lei nº 7.238, de 29 de outubro de 1984, assegura ao empregado dispensado sem justa causa nos trinta dias que antecederem a convenção salarial o direito à percepção de indenização adicional equivalente a um mês de remuneração.</t>
    </r>
  </si>
  <si>
    <t>Multa do FGTS sobre do aviso prévio indenizado</t>
  </si>
  <si>
    <t>Multa do FGTS sobre o aviso prévio trabalhado</t>
  </si>
  <si>
    <t>qtde</t>
  </si>
  <si>
    <t>Posto  OU  Funcionários</t>
  </si>
  <si>
    <t>DIRETIVA PATRIMONIAL LTDA</t>
  </si>
  <si>
    <t>Data de apresentação da proposta</t>
  </si>
  <si>
    <t xml:space="preserve">                 DIRETIVA PATRIMONIAL LTDA</t>
  </si>
  <si>
    <t xml:space="preserve">                         PLANILHA DE CUSTOS E FORMAÇÃO DE PREÇOS</t>
  </si>
  <si>
    <t xml:space="preserve">Valor Total Mensal </t>
  </si>
  <si>
    <t>Gratificação</t>
  </si>
  <si>
    <t>,</t>
  </si>
  <si>
    <t>Total 12 meses</t>
  </si>
  <si>
    <t>Valor Total 12 Meses</t>
  </si>
  <si>
    <t>Uniformes</t>
  </si>
  <si>
    <t>Processo Administrativo n°</t>
  </si>
  <si>
    <t xml:space="preserve">PREGÃO ELETRÔNICO Nº </t>
  </si>
  <si>
    <t>Curitiba/ PR</t>
  </si>
  <si>
    <t>ASSISTENTE I</t>
  </si>
  <si>
    <t>SERVIÇO SOCIAL AUTÔNOMO PARANÁ PROJETOS</t>
  </si>
  <si>
    <t>ASSISTENTE II</t>
  </si>
  <si>
    <t xml:space="preserve">ANALISTA I </t>
  </si>
  <si>
    <t>ANALISTA II</t>
  </si>
  <si>
    <t>ANALISTA III</t>
  </si>
  <si>
    <t>ANALISTA IV</t>
  </si>
  <si>
    <t>PARANA PROJETOS</t>
  </si>
  <si>
    <t>PATRIMONIAL</t>
  </si>
  <si>
    <t>Competencia</t>
  </si>
  <si>
    <t>aliq. Efetiva PIS</t>
  </si>
  <si>
    <t>aliq. Efetiva COFINS</t>
  </si>
  <si>
    <t>ALIQ. EFETIVA</t>
  </si>
  <si>
    <t>PIS</t>
  </si>
  <si>
    <t>COFINS</t>
  </si>
  <si>
    <t>PIS PAGO</t>
  </si>
  <si>
    <t>COFINS PAGO</t>
  </si>
  <si>
    <t>Auxilio Creche</t>
  </si>
  <si>
    <t xml:space="preserve">Cracha - </t>
  </si>
  <si>
    <t>Cracha</t>
  </si>
  <si>
    <t>Desconto</t>
  </si>
  <si>
    <t>Valor final</t>
  </si>
  <si>
    <t>BENEFÍCIO ASSISTÊNCIA MÉDICA</t>
  </si>
  <si>
    <t>BENEFÍCIO SOCIAL FAMILIAR</t>
  </si>
  <si>
    <t>FUNDO DE FORMAÇÃO PROFISSIONAL</t>
  </si>
  <si>
    <t>Sineespres PR000283/2023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</si>
</sst>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R$&quot;\ #,##0.00;[Red]\-&quot;R$&quot;\ #,##0.00"/>
    <numFmt numFmtId="44" formatCode="_-&quot;R$&quot;\ * #,##0.00_-;\-&quot;R$&quot;\ * #,##0.00_-;_-&quot;R$&quot;\ * &quot;-&quot;??_-;_-@_-"/>
    <numFmt numFmtId="43" formatCode="_-* #,##0.00_-;\-* #,##0.00_-;_-* &quot;-&quot;??_-;_-@_-"/>
    <numFmt numFmtId="164" formatCode="_-&quot;R$&quot;* #,##0.00_-;\-&quot;R$&quot;* #,##0.00_-;_-&quot;R$&quot;* &quot;-&quot;??_-;_-@_-"/>
    <numFmt numFmtId="165" formatCode="0.000%"/>
    <numFmt numFmtId="166" formatCode="_-&quot;R$ &quot;* #,##0.00_-;&quot;-R$ &quot;* #,##0.00_-;_-&quot;R$ &quot;* \-??_-;_-@_-"/>
    <numFmt numFmtId="167" formatCode="_-* #,##0.00_-;\-* #,##0.00_-;_-* \-??_-;_-@_-"/>
    <numFmt numFmtId="168" formatCode="_-* #,##0_-;\-* #,##0_-;_-* &quot;-&quot;??_-;_-@_-"/>
    <numFmt numFmtId="169" formatCode="0.0000%"/>
    <numFmt numFmtId="170" formatCode="0.00000"/>
    <numFmt numFmtId="171" formatCode="0.000000"/>
  </numFmts>
  <fonts count="45">
    <font>
      <sz val="11"/>
      <color theme="1"/>
      <name val="Calibri"/>
      <family val="2"/>
      <scheme val="minor"/>
    </font>
    <font>
      <sz val="11"/>
      <color theme="1"/>
      <name val="Calibri"/>
      <family val="2"/>
      <scheme val="minor"/>
    </font>
    <font>
      <sz val="10"/>
      <name val="Arial"/>
      <family val="2"/>
    </font>
    <font>
      <b/>
      <sz val="12"/>
      <name val="Arial Narrow"/>
      <family val="2"/>
    </font>
    <font>
      <b/>
      <sz val="12"/>
      <color indexed="10"/>
      <name val="Arial Narrow"/>
      <family val="2"/>
    </font>
    <font>
      <sz val="12"/>
      <name val="Arial Narrow"/>
      <family val="2"/>
    </font>
    <font>
      <b/>
      <u/>
      <sz val="12"/>
      <name val="Arial Narrow"/>
      <family val="2"/>
    </font>
    <font>
      <sz val="11"/>
      <color indexed="8"/>
      <name val="Calibri"/>
      <family val="2"/>
    </font>
    <font>
      <sz val="12"/>
      <color indexed="10"/>
      <name val="Arial Narrow"/>
      <family val="2"/>
    </font>
    <font>
      <sz val="12"/>
      <color rgb="FFFF0000"/>
      <name val="Arial Narrow"/>
      <family val="2"/>
    </font>
    <font>
      <sz val="12"/>
      <color indexed="8"/>
      <name val="Arial Narrow"/>
      <family val="2"/>
    </font>
    <font>
      <sz val="9"/>
      <name val="Arial"/>
      <family val="2"/>
    </font>
    <font>
      <b/>
      <sz val="12"/>
      <color rgb="FFFF0000"/>
      <name val="Arial Narrow"/>
      <family val="2"/>
    </font>
    <font>
      <b/>
      <sz val="12"/>
      <name val="Arial"/>
      <family val="2"/>
    </font>
    <font>
      <sz val="12"/>
      <name val="Arial"/>
      <family val="2"/>
    </font>
    <font>
      <b/>
      <sz val="9"/>
      <color indexed="81"/>
      <name val="Segoe UI"/>
      <family val="2"/>
    </font>
    <font>
      <sz val="9"/>
      <color indexed="81"/>
      <name val="Segoe UI"/>
      <family val="2"/>
    </font>
    <font>
      <b/>
      <sz val="18"/>
      <color theme="1"/>
      <name val="Calibri"/>
      <family val="2"/>
      <scheme val="minor"/>
    </font>
    <font>
      <sz val="11"/>
      <color theme="2"/>
      <name val="Calibri"/>
      <family val="2"/>
      <scheme val="minor"/>
    </font>
    <font>
      <b/>
      <sz val="12"/>
      <color theme="4"/>
      <name val="Arial Narrow"/>
      <family val="2"/>
    </font>
    <font>
      <b/>
      <sz val="24"/>
      <color theme="4"/>
      <name val="Arial Narrow"/>
      <family val="2"/>
    </font>
    <font>
      <sz val="12"/>
      <color theme="4"/>
      <name val="Arial Narrow"/>
      <family val="2"/>
    </font>
    <font>
      <b/>
      <sz val="14"/>
      <name val="Arial Narrow"/>
      <family val="2"/>
    </font>
    <font>
      <b/>
      <sz val="14"/>
      <color theme="1"/>
      <name val="Arial Narrow"/>
      <family val="2"/>
    </font>
    <font>
      <sz val="12"/>
      <color theme="1"/>
      <name val="Arial Narrow"/>
      <family val="2"/>
    </font>
    <font>
      <b/>
      <sz val="12"/>
      <color theme="1"/>
      <name val="Arial Narrow"/>
      <family val="2"/>
    </font>
    <font>
      <b/>
      <sz val="16"/>
      <color theme="1"/>
      <name val="Arial Narrow"/>
      <family val="2"/>
    </font>
    <font>
      <sz val="28"/>
      <color theme="1"/>
      <name val="Calibri"/>
      <family val="2"/>
      <scheme val="minor"/>
    </font>
    <font>
      <sz val="14"/>
      <color theme="1"/>
      <name val="Arial Narrow"/>
      <family val="2"/>
    </font>
    <font>
      <b/>
      <sz val="16"/>
      <color rgb="FFFF0000"/>
      <name val="Arial Narrow"/>
      <family val="2"/>
    </font>
    <font>
      <b/>
      <sz val="11"/>
      <color theme="1"/>
      <name val="Calibri"/>
      <family val="2"/>
      <scheme val="minor"/>
    </font>
    <font>
      <sz val="11"/>
      <color rgb="FF000000"/>
      <name val="Calibri"/>
      <family val="2"/>
    </font>
    <font>
      <u/>
      <sz val="11"/>
      <color rgb="FF0000FF"/>
      <name val="Calibri"/>
      <family val="2"/>
      <charset val="1"/>
    </font>
    <font>
      <u/>
      <sz val="11"/>
      <color rgb="FF0563C1"/>
      <name val="Calibri"/>
      <family val="2"/>
      <charset val="1"/>
    </font>
    <font>
      <sz val="11"/>
      <color rgb="FF000000"/>
      <name val="Calibri"/>
      <family val="2"/>
      <charset val="1"/>
    </font>
    <font>
      <sz val="10"/>
      <name val="Arial"/>
      <family val="2"/>
      <charset val="1"/>
    </font>
    <font>
      <u/>
      <sz val="11"/>
      <color rgb="FF0000FF"/>
      <name val="Calibri1"/>
      <charset val="1"/>
    </font>
    <font>
      <sz val="26"/>
      <color theme="1"/>
      <name val="Calibri"/>
      <family val="2"/>
      <scheme val="minor"/>
    </font>
    <font>
      <sz val="12"/>
      <color theme="0"/>
      <name val="Arial Narrow"/>
      <family val="2"/>
    </font>
    <font>
      <b/>
      <sz val="16"/>
      <color rgb="FF174E83"/>
      <name val="Arial"/>
      <family val="2"/>
    </font>
    <font>
      <b/>
      <sz val="14"/>
      <color rgb="FF0070C0"/>
      <name val="Arial Narrow"/>
      <family val="2"/>
    </font>
    <font>
      <sz val="12"/>
      <color theme="1"/>
      <name val="Calibri"/>
      <family val="2"/>
      <scheme val="minor"/>
    </font>
    <font>
      <b/>
      <sz val="12"/>
      <color theme="1"/>
      <name val="Calibri"/>
      <family val="2"/>
      <scheme val="minor"/>
    </font>
    <font>
      <sz val="11"/>
      <name val="Calibri"/>
      <family val="2"/>
      <scheme val="minor"/>
    </font>
    <font>
      <b/>
      <u/>
      <sz val="11"/>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4.9989318521683403E-2"/>
        <bgColor indexed="64"/>
      </patternFill>
    </fill>
  </fills>
  <borders count="6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top style="thin">
        <color indexed="64"/>
      </top>
      <bottom/>
      <diagonal/>
    </border>
    <border>
      <left style="medium">
        <color auto="1"/>
      </left>
      <right/>
      <top style="thin">
        <color auto="1"/>
      </top>
      <bottom/>
      <diagonal/>
    </border>
    <border>
      <left/>
      <right style="medium">
        <color auto="1"/>
      </right>
      <top style="thin">
        <color auto="1"/>
      </top>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auto="1"/>
      </top>
      <bottom/>
      <diagonal/>
    </border>
    <border>
      <left/>
      <right style="medium">
        <color auto="1"/>
      </right>
      <top/>
      <bottom/>
      <diagonal/>
    </border>
    <border>
      <left style="medium">
        <color indexed="64"/>
      </left>
      <right/>
      <top style="thin">
        <color auto="1"/>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auto="1"/>
      </right>
      <top style="thin">
        <color auto="1"/>
      </top>
      <bottom style="medium">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medium">
        <color indexed="64"/>
      </top>
      <bottom style="medium">
        <color indexed="64"/>
      </bottom>
      <diagonal/>
    </border>
    <border>
      <left style="medium">
        <color auto="1"/>
      </left>
      <right/>
      <top style="thin">
        <color auto="1"/>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style="thin">
        <color indexed="8"/>
      </top>
      <bottom style="thin">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s>
  <cellStyleXfs count="44">
    <xf numFmtId="0" fontId="0" fillId="0" borderId="0"/>
    <xf numFmtId="43" fontId="1" fillId="0" borderId="0" applyFont="0" applyFill="0" applyBorder="0" applyAlignment="0" applyProtection="0"/>
    <xf numFmtId="0" fontId="2" fillId="0" borderId="0"/>
    <xf numFmtId="9" fontId="7" fillId="0" borderId="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1" fillId="0" borderId="0"/>
    <xf numFmtId="0" fontId="32" fillId="0" borderId="0" applyBorder="0" applyProtection="0"/>
    <xf numFmtId="0" fontId="33" fillId="0" borderId="0" applyBorder="0" applyProtection="0"/>
    <xf numFmtId="166" fontId="31" fillId="0" borderId="0" applyBorder="0" applyProtection="0"/>
    <xf numFmtId="166" fontId="31" fillId="0" borderId="0" applyBorder="0" applyProtection="0"/>
    <xf numFmtId="166" fontId="31" fillId="0" borderId="0" applyBorder="0" applyProtection="0"/>
    <xf numFmtId="166" fontId="31" fillId="0" borderId="0" applyBorder="0" applyProtection="0"/>
    <xf numFmtId="166" fontId="34" fillId="0" borderId="0" applyBorder="0" applyProtection="0"/>
    <xf numFmtId="0" fontId="34" fillId="0" borderId="0"/>
    <xf numFmtId="0" fontId="35" fillId="0" borderId="0"/>
    <xf numFmtId="0" fontId="34" fillId="0" borderId="0" applyBorder="0" applyProtection="0"/>
    <xf numFmtId="0" fontId="34" fillId="0" borderId="0"/>
    <xf numFmtId="0" fontId="34" fillId="0" borderId="0" applyBorder="0" applyProtection="0"/>
    <xf numFmtId="0" fontId="34" fillId="0" borderId="0"/>
    <xf numFmtId="0" fontId="31" fillId="0" borderId="0"/>
    <xf numFmtId="9" fontId="31" fillId="0" borderId="0" applyBorder="0" applyProtection="0"/>
    <xf numFmtId="9" fontId="31" fillId="0" borderId="0" applyBorder="0" applyProtection="0"/>
    <xf numFmtId="9" fontId="34" fillId="0" borderId="0" applyBorder="0" applyProtection="0"/>
    <xf numFmtId="167" fontId="31" fillId="0" borderId="0" applyBorder="0" applyProtection="0"/>
    <xf numFmtId="167" fontId="31" fillId="0" borderId="0" applyBorder="0" applyProtection="0"/>
    <xf numFmtId="167" fontId="31" fillId="0" borderId="0" applyBorder="0" applyProtection="0"/>
    <xf numFmtId="167" fontId="31" fillId="0" borderId="0" applyBorder="0" applyProtection="0"/>
    <xf numFmtId="167" fontId="31" fillId="0" borderId="0" applyBorder="0" applyProtection="0"/>
    <xf numFmtId="0" fontId="36" fillId="0" borderId="0" applyBorder="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98">
    <xf numFmtId="0" fontId="0" fillId="0" borderId="0" xfId="0"/>
    <xf numFmtId="0" fontId="17" fillId="0" borderId="0" xfId="0" applyFont="1" applyAlignment="1">
      <alignment vertical="center"/>
    </xf>
    <xf numFmtId="0" fontId="18" fillId="0" borderId="0" xfId="0" applyFont="1"/>
    <xf numFmtId="0" fontId="24" fillId="0" borderId="0" xfId="0" applyFont="1"/>
    <xf numFmtId="0" fontId="24" fillId="0" borderId="6" xfId="0" applyFont="1" applyBorder="1"/>
    <xf numFmtId="44" fontId="24" fillId="0" borderId="6" xfId="0" applyNumberFormat="1" applyFont="1" applyBorder="1"/>
    <xf numFmtId="10" fontId="24" fillId="0" borderId="5" xfId="0" applyNumberFormat="1" applyFont="1" applyBorder="1"/>
    <xf numFmtId="0" fontId="5" fillId="0" borderId="4" xfId="0" applyFont="1" applyBorder="1"/>
    <xf numFmtId="44" fontId="5" fillId="0" borderId="6" xfId="0" applyNumberFormat="1" applyFont="1" applyBorder="1"/>
    <xf numFmtId="0" fontId="24" fillId="6" borderId="14" xfId="0" applyFont="1" applyFill="1" applyBorder="1"/>
    <xf numFmtId="0" fontId="24" fillId="6" borderId="13" xfId="0" applyFont="1" applyFill="1" applyBorder="1"/>
    <xf numFmtId="0" fontId="24" fillId="6" borderId="15" xfId="0" applyFont="1" applyFill="1" applyBorder="1"/>
    <xf numFmtId="0" fontId="24" fillId="0" borderId="4" xfId="0" applyFont="1" applyBorder="1" applyAlignment="1">
      <alignment horizontal="left"/>
    </xf>
    <xf numFmtId="44" fontId="26" fillId="5" borderId="6" xfId="0" applyNumberFormat="1" applyFont="1" applyFill="1" applyBorder="1"/>
    <xf numFmtId="0" fontId="24" fillId="6" borderId="4" xfId="0" applyFont="1" applyFill="1" applyBorder="1" applyAlignment="1">
      <alignment horizontal="left"/>
    </xf>
    <xf numFmtId="0" fontId="5" fillId="6" borderId="4" xfId="0" applyFont="1" applyFill="1" applyBorder="1"/>
    <xf numFmtId="44" fontId="5" fillId="6" borderId="6" xfId="0" applyNumberFormat="1" applyFont="1" applyFill="1" applyBorder="1"/>
    <xf numFmtId="0" fontId="24" fillId="6" borderId="6" xfId="0" applyFont="1" applyFill="1" applyBorder="1" applyAlignment="1">
      <alignment horizontal="center"/>
    </xf>
    <xf numFmtId="0" fontId="24" fillId="0" borderId="17" xfId="0" applyFont="1" applyBorder="1"/>
    <xf numFmtId="0" fontId="24" fillId="0" borderId="18" xfId="0" applyFont="1" applyBorder="1"/>
    <xf numFmtId="0" fontId="5" fillId="6" borderId="16" xfId="0" applyFont="1" applyFill="1" applyBorder="1"/>
    <xf numFmtId="0" fontId="5" fillId="0" borderId="16" xfId="0" applyFont="1" applyBorder="1"/>
    <xf numFmtId="0" fontId="5" fillId="6" borderId="19" xfId="0" applyFont="1" applyFill="1" applyBorder="1"/>
    <xf numFmtId="0" fontId="5" fillId="0" borderId="19" xfId="0" applyFont="1" applyBorder="1"/>
    <xf numFmtId="0" fontId="24" fillId="6" borderId="16" xfId="0" applyFont="1" applyFill="1" applyBorder="1" applyAlignment="1">
      <alignment horizontal="left"/>
    </xf>
    <xf numFmtId="0" fontId="24" fillId="6" borderId="19" xfId="0" applyFont="1" applyFill="1" applyBorder="1" applyAlignment="1">
      <alignment horizontal="left"/>
    </xf>
    <xf numFmtId="0" fontId="24" fillId="0" borderId="5" xfId="0" applyFont="1" applyBorder="1" applyAlignment="1">
      <alignment horizontal="center" vertical="center"/>
    </xf>
    <xf numFmtId="0" fontId="24" fillId="0" borderId="6" xfId="0" applyFont="1" applyBorder="1" applyAlignment="1">
      <alignment horizontal="center" vertical="center"/>
    </xf>
    <xf numFmtId="9" fontId="26" fillId="5" borderId="8" xfId="0" applyNumberFormat="1" applyFont="1" applyFill="1" applyBorder="1"/>
    <xf numFmtId="44" fontId="26" fillId="5" borderId="9" xfId="0" applyNumberFormat="1" applyFont="1" applyFill="1" applyBorder="1"/>
    <xf numFmtId="0" fontId="24" fillId="0" borderId="1" xfId="0" applyFont="1" applyBorder="1"/>
    <xf numFmtId="0" fontId="24" fillId="0" borderId="2" xfId="0" applyFont="1" applyBorder="1" applyAlignment="1">
      <alignment wrapText="1"/>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34" xfId="0" applyFont="1" applyBorder="1"/>
    <xf numFmtId="0" fontId="5" fillId="0" borderId="1" xfId="0" applyFont="1" applyBorder="1" applyAlignment="1">
      <alignment horizontal="left"/>
    </xf>
    <xf numFmtId="0" fontId="5" fillId="0" borderId="3" xfId="0" applyFont="1" applyBorder="1" applyAlignment="1">
      <alignment horizontal="center" vertical="center"/>
    </xf>
    <xf numFmtId="0" fontId="24" fillId="7" borderId="0" xfId="0" applyFont="1" applyFill="1"/>
    <xf numFmtId="0" fontId="24" fillId="0" borderId="7" xfId="0" applyFont="1" applyBorder="1" applyAlignment="1">
      <alignment horizontal="left"/>
    </xf>
    <xf numFmtId="0" fontId="24" fillId="0" borderId="8" xfId="0" applyFont="1" applyBorder="1"/>
    <xf numFmtId="0" fontId="3" fillId="5" borderId="29" xfId="0" applyFont="1" applyFill="1" applyBorder="1"/>
    <xf numFmtId="0" fontId="3" fillId="5" borderId="38" xfId="0" applyFont="1" applyFill="1" applyBorder="1"/>
    <xf numFmtId="0" fontId="3" fillId="5" borderId="25" xfId="0" applyFont="1" applyFill="1" applyBorder="1"/>
    <xf numFmtId="0" fontId="28" fillId="7" borderId="0" xfId="0" applyFont="1" applyFill="1"/>
    <xf numFmtId="0" fontId="24" fillId="0" borderId="19" xfId="0" applyFont="1" applyBorder="1"/>
    <xf numFmtId="0" fontId="24" fillId="0" borderId="31" xfId="0" applyFont="1" applyBorder="1" applyAlignment="1">
      <alignment horizontal="center" vertical="center"/>
    </xf>
    <xf numFmtId="44" fontId="24" fillId="7" borderId="6" xfId="0" applyNumberFormat="1" applyFont="1" applyFill="1" applyBorder="1"/>
    <xf numFmtId="0" fontId="24" fillId="6" borderId="43" xfId="0" applyFont="1" applyFill="1" applyBorder="1"/>
    <xf numFmtId="44" fontId="24" fillId="6" borderId="41" xfId="0" applyNumberFormat="1" applyFont="1" applyFill="1" applyBorder="1"/>
    <xf numFmtId="9" fontId="26" fillId="5" borderId="21" xfId="0" applyNumberFormat="1" applyFont="1" applyFill="1" applyBorder="1"/>
    <xf numFmtId="0" fontId="5" fillId="6" borderId="39" xfId="0" applyFont="1" applyFill="1" applyBorder="1"/>
    <xf numFmtId="0" fontId="5" fillId="6" borderId="42" xfId="0" applyFont="1" applyFill="1" applyBorder="1"/>
    <xf numFmtId="0" fontId="5" fillId="6" borderId="43" xfId="0" applyFont="1" applyFill="1" applyBorder="1"/>
    <xf numFmtId="44" fontId="5" fillId="6" borderId="41" xfId="0" applyNumberFormat="1" applyFont="1" applyFill="1" applyBorder="1"/>
    <xf numFmtId="0" fontId="24" fillId="0" borderId="39" xfId="0" applyFont="1" applyBorder="1"/>
    <xf numFmtId="44" fontId="24" fillId="0" borderId="41" xfId="0" applyNumberFormat="1" applyFont="1" applyBorder="1"/>
    <xf numFmtId="9" fontId="26" fillId="5" borderId="35" xfId="0" applyNumberFormat="1" applyFont="1" applyFill="1" applyBorder="1"/>
    <xf numFmtId="44" fontId="26" fillId="5" borderId="23" xfId="0" applyNumberFormat="1" applyFont="1" applyFill="1" applyBorder="1"/>
    <xf numFmtId="0" fontId="24" fillId="0" borderId="40" xfId="0" applyFont="1" applyBorder="1"/>
    <xf numFmtId="43" fontId="24" fillId="0" borderId="40" xfId="1" applyFont="1" applyFill="1" applyBorder="1"/>
    <xf numFmtId="10" fontId="26" fillId="5" borderId="35" xfId="0" applyNumberFormat="1" applyFont="1" applyFill="1" applyBorder="1"/>
    <xf numFmtId="10" fontId="26" fillId="5" borderId="8" xfId="0" applyNumberFormat="1" applyFont="1" applyFill="1" applyBorder="1"/>
    <xf numFmtId="0" fontId="24" fillId="6" borderId="16" xfId="0" applyFont="1" applyFill="1" applyBorder="1"/>
    <xf numFmtId="0" fontId="24" fillId="0" borderId="16" xfId="0" applyFont="1" applyBorder="1"/>
    <xf numFmtId="44" fontId="24" fillId="7" borderId="0" xfId="0" applyNumberFormat="1" applyFont="1" applyFill="1"/>
    <xf numFmtId="44" fontId="24" fillId="0" borderId="0" xfId="0" applyNumberFormat="1" applyFont="1"/>
    <xf numFmtId="0" fontId="24" fillId="7" borderId="16" xfId="0" applyFont="1" applyFill="1" applyBorder="1"/>
    <xf numFmtId="10" fontId="24" fillId="7" borderId="5" xfId="0" applyNumberFormat="1" applyFont="1" applyFill="1" applyBorder="1"/>
    <xf numFmtId="0" fontId="24" fillId="7" borderId="42" xfId="0" applyFont="1" applyFill="1" applyBorder="1"/>
    <xf numFmtId="10" fontId="24" fillId="7" borderId="40" xfId="0" applyNumberFormat="1" applyFont="1" applyFill="1" applyBorder="1"/>
    <xf numFmtId="0" fontId="24" fillId="7" borderId="4" xfId="0" applyFont="1" applyFill="1" applyBorder="1"/>
    <xf numFmtId="0" fontId="24" fillId="7" borderId="5" xfId="0" applyFont="1" applyFill="1" applyBorder="1"/>
    <xf numFmtId="44" fontId="24" fillId="6" borderId="6" xfId="0" applyNumberFormat="1" applyFont="1" applyFill="1" applyBorder="1"/>
    <xf numFmtId="10" fontId="24" fillId="6" borderId="5" xfId="0" applyNumberFormat="1" applyFont="1" applyFill="1" applyBorder="1"/>
    <xf numFmtId="0" fontId="0" fillId="0" borderId="5" xfId="0" applyBorder="1"/>
    <xf numFmtId="0" fontId="0" fillId="0" borderId="6" xfId="0" applyBorder="1"/>
    <xf numFmtId="10" fontId="5" fillId="0" borderId="6" xfId="3" applyNumberFormat="1" applyFont="1" applyFill="1" applyBorder="1" applyAlignment="1">
      <alignment horizontal="center" vertical="center" wrapText="1"/>
    </xf>
    <xf numFmtId="10" fontId="9" fillId="0" borderId="6" xfId="3" applyNumberFormat="1" applyFont="1" applyFill="1" applyBorder="1" applyAlignment="1">
      <alignment horizontal="center" vertical="center" wrapText="1"/>
    </xf>
    <xf numFmtId="0" fontId="4" fillId="0" borderId="5" xfId="2" applyFont="1" applyBorder="1" applyAlignment="1">
      <alignment horizontal="justify" vertical="center" wrapText="1"/>
    </xf>
    <xf numFmtId="0" fontId="8" fillId="0" borderId="5" xfId="2" applyFont="1" applyBorder="1" applyAlignment="1">
      <alignment horizontal="justify" vertical="center" wrapText="1"/>
    </xf>
    <xf numFmtId="0" fontId="11" fillId="0" borderId="5" xfId="0" applyFont="1" applyBorder="1" applyAlignment="1">
      <alignment vertical="center" wrapText="1"/>
    </xf>
    <xf numFmtId="0" fontId="12" fillId="0" borderId="5" xfId="2" applyFont="1" applyBorder="1" applyAlignment="1">
      <alignment horizontal="center" vertical="center" wrapText="1"/>
    </xf>
    <xf numFmtId="10" fontId="12" fillId="0" borderId="6" xfId="3" applyNumberFormat="1" applyFont="1" applyFill="1" applyBorder="1" applyAlignment="1">
      <alignment horizontal="center" vertical="center" wrapText="1"/>
    </xf>
    <xf numFmtId="0" fontId="0" fillId="0" borderId="10" xfId="0" applyBorder="1"/>
    <xf numFmtId="0" fontId="0" fillId="0" borderId="11" xfId="0" applyBorder="1"/>
    <xf numFmtId="0" fontId="0" fillId="0" borderId="12" xfId="0" applyBorder="1"/>
    <xf numFmtId="0" fontId="3" fillId="4" borderId="5" xfId="2" applyFont="1" applyFill="1" applyBorder="1" applyAlignment="1">
      <alignment horizontal="justify" vertical="center" wrapText="1"/>
    </xf>
    <xf numFmtId="10" fontId="3" fillId="4" borderId="6" xfId="3" applyNumberFormat="1" applyFont="1" applyFill="1" applyBorder="1" applyAlignment="1">
      <alignment horizontal="center" vertical="center" wrapText="1"/>
    </xf>
    <xf numFmtId="0" fontId="22" fillId="4" borderId="5" xfId="2" applyFont="1" applyFill="1" applyBorder="1" applyAlignment="1">
      <alignment horizontal="center" vertical="center" wrapText="1"/>
    </xf>
    <xf numFmtId="10" fontId="22" fillId="4" borderId="6" xfId="3" applyNumberFormat="1" applyFont="1" applyFill="1" applyBorder="1" applyAlignment="1">
      <alignment horizontal="center" vertical="center" wrapText="1"/>
    </xf>
    <xf numFmtId="0" fontId="3" fillId="2" borderId="5" xfId="2" applyFont="1" applyFill="1" applyBorder="1" applyAlignment="1">
      <alignment horizontal="justify" vertical="center" wrapText="1"/>
    </xf>
    <xf numFmtId="10" fontId="3" fillId="2" borderId="6" xfId="3" applyNumberFormat="1" applyFont="1" applyFill="1" applyBorder="1" applyAlignment="1">
      <alignment horizontal="center" vertical="center" wrapText="1"/>
    </xf>
    <xf numFmtId="0" fontId="24" fillId="0" borderId="4" xfId="0" applyFont="1" applyBorder="1"/>
    <xf numFmtId="0" fontId="24" fillId="6" borderId="4" xfId="0" applyFont="1" applyFill="1" applyBorder="1"/>
    <xf numFmtId="0" fontId="24" fillId="6" borderId="39" xfId="0" applyFont="1" applyFill="1" applyBorder="1"/>
    <xf numFmtId="0" fontId="24" fillId="6" borderId="42" xfId="0" applyFont="1" applyFill="1" applyBorder="1"/>
    <xf numFmtId="44" fontId="0" fillId="0" borderId="0" xfId="4" applyFont="1" applyFill="1"/>
    <xf numFmtId="165" fontId="24" fillId="0" borderId="0" xfId="11" applyNumberFormat="1" applyFont="1" applyFill="1"/>
    <xf numFmtId="0" fontId="25" fillId="0" borderId="0" xfId="0" applyFont="1" applyAlignment="1">
      <alignment horizontal="center" vertical="center"/>
    </xf>
    <xf numFmtId="10" fontId="24" fillId="0" borderId="0" xfId="11" applyNumberFormat="1" applyFont="1" applyFill="1"/>
    <xf numFmtId="44" fontId="26" fillId="8" borderId="6" xfId="0" applyNumberFormat="1" applyFont="1" applyFill="1" applyBorder="1"/>
    <xf numFmtId="44" fontId="0" fillId="0" borderId="0" xfId="0" applyNumberFormat="1"/>
    <xf numFmtId="10" fontId="26" fillId="5" borderId="48" xfId="0" applyNumberFormat="1" applyFont="1" applyFill="1" applyBorder="1"/>
    <xf numFmtId="44" fontId="26" fillId="5" borderId="49" xfId="0" applyNumberFormat="1" applyFont="1" applyFill="1" applyBorder="1"/>
    <xf numFmtId="0" fontId="13" fillId="2" borderId="39" xfId="0" applyFont="1" applyFill="1" applyBorder="1" applyAlignment="1">
      <alignment horizontal="center" vertical="center" wrapText="1"/>
    </xf>
    <xf numFmtId="0" fontId="13" fillId="2" borderId="40" xfId="0" applyFont="1" applyFill="1" applyBorder="1" applyAlignment="1">
      <alignment horizontal="left" vertical="center" wrapText="1"/>
    </xf>
    <xf numFmtId="0" fontId="13" fillId="2" borderId="4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vertical="center" wrapText="1"/>
    </xf>
    <xf numFmtId="43" fontId="14" fillId="0" borderId="3" xfId="1" applyFont="1" applyFill="1" applyBorder="1" applyAlignment="1">
      <alignment vertical="center" wrapText="1"/>
    </xf>
    <xf numFmtId="0" fontId="24" fillId="0" borderId="5" xfId="0" applyFont="1" applyBorder="1" applyAlignment="1">
      <alignment horizontal="center"/>
    </xf>
    <xf numFmtId="0" fontId="24" fillId="0" borderId="5" xfId="0" applyFont="1" applyBorder="1"/>
    <xf numFmtId="0" fontId="24" fillId="6" borderId="5" xfId="0" applyFont="1" applyFill="1" applyBorder="1"/>
    <xf numFmtId="0" fontId="24" fillId="0" borderId="6" xfId="0" applyFont="1" applyBorder="1" applyAlignment="1">
      <alignment horizontal="center"/>
    </xf>
    <xf numFmtId="10" fontId="0" fillId="0" borderId="0" xfId="11" applyNumberFormat="1" applyFont="1" applyFill="1"/>
    <xf numFmtId="165" fontId="0" fillId="0" borderId="0" xfId="11" applyNumberFormat="1" applyFont="1" applyFill="1"/>
    <xf numFmtId="0" fontId="27" fillId="0" borderId="0" xfId="0" applyFont="1" applyAlignment="1">
      <alignment horizontal="right" vertical="center"/>
    </xf>
    <xf numFmtId="0" fontId="17" fillId="0" borderId="0" xfId="0" applyFont="1" applyAlignment="1">
      <alignment horizontal="right" vertical="center"/>
    </xf>
    <xf numFmtId="0" fontId="37" fillId="0" borderId="0" xfId="0" applyFont="1" applyAlignment="1">
      <alignment horizontal="right" vertical="center"/>
    </xf>
    <xf numFmtId="0" fontId="4" fillId="0" borderId="5" xfId="2" applyFont="1" applyBorder="1" applyAlignment="1">
      <alignment horizontal="justify" vertical="center"/>
    </xf>
    <xf numFmtId="164" fontId="24" fillId="0" borderId="0" xfId="0" applyNumberFormat="1" applyFont="1"/>
    <xf numFmtId="9" fontId="24" fillId="9" borderId="5" xfId="0" applyNumberFormat="1" applyFont="1" applyFill="1" applyBorder="1"/>
    <xf numFmtId="168" fontId="24" fillId="9" borderId="5" xfId="1" applyNumberFormat="1" applyFont="1" applyFill="1" applyBorder="1"/>
    <xf numFmtId="10" fontId="24" fillId="9" borderId="5" xfId="0" applyNumberFormat="1" applyFont="1" applyFill="1" applyBorder="1"/>
    <xf numFmtId="44" fontId="24" fillId="9" borderId="6" xfId="0" applyNumberFormat="1" applyFont="1" applyFill="1" applyBorder="1"/>
    <xf numFmtId="10" fontId="24" fillId="9" borderId="5" xfId="1" applyNumberFormat="1" applyFont="1" applyFill="1" applyBorder="1"/>
    <xf numFmtId="0" fontId="24" fillId="10" borderId="5" xfId="0" applyFont="1" applyFill="1" applyBorder="1"/>
    <xf numFmtId="0" fontId="24" fillId="9" borderId="16" xfId="0" applyFont="1" applyFill="1" applyBorder="1"/>
    <xf numFmtId="0" fontId="24" fillId="11" borderId="4" xfId="0" applyFont="1" applyFill="1" applyBorder="1"/>
    <xf numFmtId="44" fontId="24" fillId="11" borderId="6" xfId="0" applyNumberFormat="1" applyFont="1" applyFill="1" applyBorder="1" applyAlignment="1">
      <alignment vertical="center"/>
    </xf>
    <xf numFmtId="0" fontId="24" fillId="0" borderId="54" xfId="0" applyFont="1" applyBorder="1"/>
    <xf numFmtId="44" fontId="24" fillId="0" borderId="55" xfId="0" applyNumberFormat="1" applyFont="1" applyBorder="1"/>
    <xf numFmtId="10" fontId="5" fillId="7" borderId="6" xfId="3" applyNumberFormat="1" applyFont="1" applyFill="1" applyBorder="1" applyAlignment="1">
      <alignment horizontal="center" vertical="center" wrapText="1"/>
    </xf>
    <xf numFmtId="44" fontId="0" fillId="7" borderId="3" xfId="4" applyFont="1" applyFill="1" applyBorder="1"/>
    <xf numFmtId="44" fontId="24" fillId="10" borderId="6" xfId="0" applyNumberFormat="1" applyFont="1" applyFill="1" applyBorder="1"/>
    <xf numFmtId="44" fontId="0" fillId="7" borderId="58" xfId="4" applyFont="1" applyFill="1" applyBorder="1"/>
    <xf numFmtId="0" fontId="41" fillId="0" borderId="0" xfId="0" applyFont="1" applyAlignment="1">
      <alignment horizontal="center" vertical="center"/>
    </xf>
    <xf numFmtId="0" fontId="41" fillId="0" borderId="0" xfId="0" applyFont="1"/>
    <xf numFmtId="44" fontId="41" fillId="0" borderId="0" xfId="0" applyNumberFormat="1" applyFont="1"/>
    <xf numFmtId="0" fontId="41" fillId="7" borderId="57" xfId="0" applyFont="1" applyFill="1" applyBorder="1" applyAlignment="1">
      <alignment horizontal="center"/>
    </xf>
    <xf numFmtId="17" fontId="41" fillId="7" borderId="56" xfId="0" applyNumberFormat="1" applyFont="1" applyFill="1" applyBorder="1"/>
    <xf numFmtId="0" fontId="41" fillId="7" borderId="56" xfId="0" applyFont="1" applyFill="1" applyBorder="1" applyAlignment="1">
      <alignment horizontal="center" vertical="center"/>
    </xf>
    <xf numFmtId="44" fontId="41" fillId="7" borderId="56" xfId="4" applyFont="1" applyFill="1" applyBorder="1"/>
    <xf numFmtId="44" fontId="41" fillId="7" borderId="58" xfId="4" applyFont="1" applyFill="1" applyBorder="1"/>
    <xf numFmtId="44" fontId="41" fillId="7" borderId="52" xfId="4" applyFont="1" applyFill="1" applyBorder="1"/>
    <xf numFmtId="44" fontId="41" fillId="7" borderId="53" xfId="4" applyFont="1" applyFill="1" applyBorder="1"/>
    <xf numFmtId="0" fontId="42" fillId="0" borderId="0" xfId="0" applyFont="1"/>
    <xf numFmtId="44" fontId="41" fillId="7" borderId="0" xfId="0" applyNumberFormat="1" applyFont="1" applyFill="1"/>
    <xf numFmtId="0" fontId="42" fillId="0" borderId="0" xfId="0" applyFont="1" applyAlignment="1">
      <alignment vertical="center"/>
    </xf>
    <xf numFmtId="44" fontId="42" fillId="8" borderId="0" xfId="4" applyFont="1" applyFill="1" applyBorder="1" applyAlignment="1">
      <alignment horizontal="center" vertical="center"/>
    </xf>
    <xf numFmtId="44" fontId="42" fillId="8" borderId="0" xfId="4" applyFont="1" applyFill="1" applyBorder="1" applyAlignment="1">
      <alignment vertical="center"/>
    </xf>
    <xf numFmtId="0" fontId="41" fillId="0" borderId="0" xfId="0" applyFont="1" applyAlignment="1">
      <alignment vertical="center" wrapText="1"/>
    </xf>
    <xf numFmtId="44" fontId="41" fillId="0" borderId="0" xfId="0" applyNumberFormat="1" applyFont="1" applyAlignment="1">
      <alignment vertical="center"/>
    </xf>
    <xf numFmtId="0" fontId="41" fillId="0" borderId="0" xfId="0" applyFont="1" applyAlignment="1">
      <alignment vertical="center"/>
    </xf>
    <xf numFmtId="10" fontId="41" fillId="0" borderId="0" xfId="0" applyNumberFormat="1" applyFont="1" applyAlignment="1">
      <alignment vertical="center"/>
    </xf>
    <xf numFmtId="44" fontId="41" fillId="0" borderId="0" xfId="4" applyFont="1" applyAlignment="1">
      <alignment vertical="center"/>
    </xf>
    <xf numFmtId="9" fontId="41" fillId="0" borderId="0" xfId="0" applyNumberFormat="1" applyFont="1"/>
    <xf numFmtId="9" fontId="41" fillId="0" borderId="0" xfId="11" applyFont="1" applyAlignment="1">
      <alignment vertical="center"/>
    </xf>
    <xf numFmtId="8" fontId="41" fillId="0" borderId="0" xfId="0" applyNumberFormat="1" applyFont="1" applyAlignment="1">
      <alignment horizontal="center" vertical="center"/>
    </xf>
    <xf numFmtId="0" fontId="30" fillId="0" borderId="28" xfId="0" applyFont="1" applyBorder="1" applyAlignment="1">
      <alignment horizontal="center" vertical="center" wrapText="1"/>
    </xf>
    <xf numFmtId="0" fontId="30" fillId="0" borderId="0" xfId="0" applyFont="1" applyAlignment="1">
      <alignment vertical="center" wrapText="1"/>
    </xf>
    <xf numFmtId="0" fontId="30" fillId="0" borderId="28" xfId="0" applyFont="1" applyBorder="1" applyAlignment="1">
      <alignment vertical="center" wrapText="1"/>
    </xf>
    <xf numFmtId="0" fontId="30" fillId="0" borderId="29" xfId="0" applyFont="1" applyBorder="1" applyAlignment="1">
      <alignment horizontal="right" vertical="center" wrapText="1"/>
    </xf>
    <xf numFmtId="43" fontId="0" fillId="7" borderId="0" xfId="1" applyFont="1" applyFill="1"/>
    <xf numFmtId="44" fontId="0" fillId="7" borderId="1" xfId="4" applyFont="1" applyFill="1" applyBorder="1"/>
    <xf numFmtId="169" fontId="0" fillId="7" borderId="3" xfId="11" applyNumberFormat="1" applyFont="1" applyFill="1" applyBorder="1"/>
    <xf numFmtId="17" fontId="0" fillId="0" borderId="57" xfId="0" applyNumberFormat="1" applyBorder="1" applyAlignment="1">
      <alignment horizontal="center"/>
    </xf>
    <xf numFmtId="44" fontId="0" fillId="7" borderId="57" xfId="4" applyFont="1" applyFill="1" applyBorder="1"/>
    <xf numFmtId="169" fontId="0" fillId="7" borderId="58" xfId="11" applyNumberFormat="1" applyFont="1" applyFill="1" applyBorder="1"/>
    <xf numFmtId="44" fontId="43" fillId="7" borderId="58" xfId="4" applyFont="1" applyFill="1" applyBorder="1"/>
    <xf numFmtId="170" fontId="0" fillId="7" borderId="58" xfId="11" applyNumberFormat="1" applyFont="1" applyFill="1" applyBorder="1"/>
    <xf numFmtId="171" fontId="0" fillId="7" borderId="58" xfId="11" applyNumberFormat="1" applyFont="1" applyFill="1" applyBorder="1"/>
    <xf numFmtId="44" fontId="0" fillId="7" borderId="51" xfId="4" applyFont="1" applyFill="1" applyBorder="1"/>
    <xf numFmtId="170" fontId="0" fillId="7" borderId="53" xfId="11" applyNumberFormat="1" applyFont="1" applyFill="1" applyBorder="1"/>
    <xf numFmtId="171" fontId="0" fillId="7" borderId="53" xfId="11" applyNumberFormat="1" applyFont="1" applyFill="1" applyBorder="1"/>
    <xf numFmtId="165" fontId="30" fillId="2" borderId="25" xfId="11" applyNumberFormat="1" applyFont="1" applyFill="1" applyBorder="1"/>
    <xf numFmtId="165" fontId="30" fillId="0" borderId="0" xfId="11" applyNumberFormat="1" applyFont="1"/>
    <xf numFmtId="0" fontId="44" fillId="2" borderId="59" xfId="0" applyFont="1" applyFill="1" applyBorder="1" applyAlignment="1">
      <alignment horizontal="right"/>
    </xf>
    <xf numFmtId="0" fontId="44" fillId="0" borderId="0" xfId="0" applyFont="1"/>
    <xf numFmtId="17" fontId="0" fillId="0" borderId="1" xfId="0" applyNumberFormat="1" applyBorder="1" applyAlignment="1">
      <alignment horizontal="center"/>
    </xf>
    <xf numFmtId="17" fontId="0" fillId="0" borderId="51" xfId="0" applyNumberFormat="1" applyBorder="1" applyAlignment="1">
      <alignment horizontal="center"/>
    </xf>
    <xf numFmtId="44" fontId="43" fillId="7" borderId="53" xfId="4" applyFont="1" applyFill="1" applyBorder="1"/>
    <xf numFmtId="165" fontId="24" fillId="6" borderId="5" xfId="0" applyNumberFormat="1" applyFont="1" applyFill="1" applyBorder="1"/>
    <xf numFmtId="165" fontId="24" fillId="0" borderId="5" xfId="0" applyNumberFormat="1" applyFont="1" applyBorder="1"/>
    <xf numFmtId="44" fontId="41" fillId="0" borderId="0" xfId="4" applyFont="1"/>
    <xf numFmtId="0" fontId="42" fillId="7" borderId="1" xfId="0" applyFont="1" applyFill="1" applyBorder="1" applyAlignment="1">
      <alignment horizontal="center" vertical="center"/>
    </xf>
    <xf numFmtId="0" fontId="42" fillId="7" borderId="2" xfId="0" applyFont="1" applyFill="1" applyBorder="1" applyAlignment="1">
      <alignment horizontal="center" vertical="center"/>
    </xf>
    <xf numFmtId="0" fontId="42" fillId="7" borderId="3" xfId="0" applyFont="1" applyFill="1" applyBorder="1" applyAlignment="1">
      <alignment horizontal="center" vertical="center"/>
    </xf>
    <xf numFmtId="44" fontId="24" fillId="0" borderId="0" xfId="4" applyFont="1"/>
    <xf numFmtId="169" fontId="24" fillId="0" borderId="0" xfId="11" applyNumberFormat="1" applyFont="1"/>
    <xf numFmtId="0" fontId="41" fillId="7" borderId="51" xfId="0" applyFont="1" applyFill="1" applyBorder="1" applyAlignment="1">
      <alignment horizontal="center"/>
    </xf>
    <xf numFmtId="17" fontId="41" fillId="7" borderId="52" xfId="0" applyNumberFormat="1" applyFont="1" applyFill="1" applyBorder="1"/>
    <xf numFmtId="0" fontId="41" fillId="7" borderId="52" xfId="0" applyFont="1" applyFill="1" applyBorder="1" applyAlignment="1">
      <alignment horizontal="center" vertical="center"/>
    </xf>
    <xf numFmtId="10" fontId="24" fillId="7" borderId="5" xfId="1" applyNumberFormat="1" applyFont="1" applyFill="1" applyBorder="1"/>
    <xf numFmtId="0" fontId="14" fillId="0" borderId="51" xfId="0" applyFont="1" applyBorder="1" applyAlignment="1">
      <alignment horizontal="center" vertical="center" wrapText="1"/>
    </xf>
    <xf numFmtId="0" fontId="14" fillId="0" borderId="52" xfId="0" applyFont="1" applyBorder="1" applyAlignment="1">
      <alignment horizontal="left" vertical="center" wrapText="1"/>
    </xf>
    <xf numFmtId="43" fontId="14" fillId="0" borderId="53" xfId="1" applyFont="1" applyFill="1" applyBorder="1" applyAlignment="1">
      <alignment vertical="center" wrapText="1"/>
    </xf>
    <xf numFmtId="0" fontId="3" fillId="2" borderId="5" xfId="2" applyFont="1" applyFill="1" applyBorder="1" applyAlignment="1">
      <alignment horizontal="left" vertical="center" wrapText="1"/>
    </xf>
    <xf numFmtId="0" fontId="3" fillId="2" borderId="6" xfId="2" applyFont="1" applyFill="1" applyBorder="1" applyAlignment="1">
      <alignment horizontal="left" vertical="center" wrapText="1"/>
    </xf>
    <xf numFmtId="0" fontId="3" fillId="0" borderId="5" xfId="2" applyFont="1" applyBorder="1" applyAlignment="1">
      <alignment horizontal="center" vertical="center" wrapText="1"/>
    </xf>
    <xf numFmtId="0" fontId="3" fillId="0" borderId="6" xfId="2" applyFont="1" applyBorder="1" applyAlignment="1">
      <alignment horizontal="center" vertical="center" wrapText="1"/>
    </xf>
    <xf numFmtId="49" fontId="19" fillId="0" borderId="2" xfId="2" applyNumberFormat="1" applyFont="1" applyBorder="1" applyAlignment="1">
      <alignment horizontal="center" vertical="center" wrapText="1"/>
    </xf>
    <xf numFmtId="49" fontId="19" fillId="0" borderId="3" xfId="2" applyNumberFormat="1" applyFont="1" applyBorder="1" applyAlignment="1">
      <alignment horizontal="center" vertical="center" wrapText="1"/>
    </xf>
    <xf numFmtId="49" fontId="19" fillId="0" borderId="5" xfId="2" applyNumberFormat="1" applyFont="1" applyBorder="1" applyAlignment="1">
      <alignment horizontal="center" vertical="center" wrapText="1"/>
    </xf>
    <xf numFmtId="49" fontId="19" fillId="0" borderId="6" xfId="2" applyNumberFormat="1" applyFont="1" applyBorder="1" applyAlignment="1">
      <alignment horizontal="center" vertical="center" wrapText="1"/>
    </xf>
    <xf numFmtId="49" fontId="3" fillId="0" borderId="5" xfId="2" applyNumberFormat="1" applyFont="1" applyBorder="1" applyAlignment="1">
      <alignment horizontal="center" vertical="center" wrapText="1"/>
    </xf>
    <xf numFmtId="49" fontId="3" fillId="0" borderId="6" xfId="2" applyNumberFormat="1" applyFont="1" applyBorder="1" applyAlignment="1">
      <alignment horizontal="center" vertical="center" wrapText="1"/>
    </xf>
    <xf numFmtId="0" fontId="6" fillId="3" borderId="5" xfId="2" applyFont="1" applyFill="1" applyBorder="1" applyAlignment="1">
      <alignment horizontal="center" vertical="center" wrapText="1"/>
    </xf>
    <xf numFmtId="0" fontId="6" fillId="3" borderId="6" xfId="2" applyFont="1" applyFill="1" applyBorder="1" applyAlignment="1">
      <alignment horizontal="center" vertical="center" wrapText="1"/>
    </xf>
    <xf numFmtId="0" fontId="41" fillId="0" borderId="0" xfId="0" applyFont="1" applyAlignment="1">
      <alignment horizontal="center"/>
    </xf>
    <xf numFmtId="14" fontId="41" fillId="0" borderId="0" xfId="0" applyNumberFormat="1" applyFont="1" applyAlignment="1">
      <alignment horizontal="center"/>
    </xf>
    <xf numFmtId="20" fontId="41" fillId="0" borderId="0" xfId="0" applyNumberFormat="1" applyFont="1" applyAlignment="1">
      <alignment horizontal="center"/>
    </xf>
    <xf numFmtId="0" fontId="25" fillId="5" borderId="45" xfId="0" applyFont="1" applyFill="1" applyBorder="1" applyAlignment="1">
      <alignment horizontal="left" vertical="center"/>
    </xf>
    <xf numFmtId="0" fontId="25" fillId="5" borderId="18" xfId="0" applyFont="1" applyFill="1" applyBorder="1" applyAlignment="1">
      <alignment horizontal="left" vertical="center"/>
    </xf>
    <xf numFmtId="0" fontId="25" fillId="8" borderId="45" xfId="0" applyFont="1" applyFill="1" applyBorder="1" applyAlignment="1">
      <alignment horizontal="left" vertical="center"/>
    </xf>
    <xf numFmtId="0" fontId="25" fillId="8" borderId="18" xfId="0" applyFont="1" applyFill="1" applyBorder="1" applyAlignment="1">
      <alignment horizontal="left"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4" fillId="0" borderId="5" xfId="0" applyFont="1" applyBorder="1"/>
    <xf numFmtId="0" fontId="24" fillId="6" borderId="5" xfId="0" applyFont="1" applyFill="1" applyBorder="1"/>
    <xf numFmtId="0" fontId="24" fillId="0" borderId="5" xfId="0" applyFont="1" applyBorder="1" applyAlignment="1">
      <alignment horizontal="left"/>
    </xf>
    <xf numFmtId="0" fontId="24" fillId="6" borderId="5" xfId="0" applyFont="1" applyFill="1" applyBorder="1" applyAlignment="1">
      <alignment horizontal="left"/>
    </xf>
    <xf numFmtId="0" fontId="24" fillId="0" borderId="5" xfId="0" applyFont="1" applyBorder="1" applyAlignment="1">
      <alignment horizontal="center"/>
    </xf>
    <xf numFmtId="0" fontId="22" fillId="5" borderId="28" xfId="0" applyFont="1" applyFill="1" applyBorder="1" applyAlignment="1">
      <alignment horizontal="center"/>
    </xf>
    <xf numFmtId="0" fontId="22" fillId="5" borderId="24" xfId="0" applyFont="1" applyFill="1" applyBorder="1" applyAlignment="1">
      <alignment horizontal="center"/>
    </xf>
    <xf numFmtId="0" fontId="22" fillId="5" borderId="29" xfId="0" applyFont="1" applyFill="1" applyBorder="1" applyAlignment="1">
      <alignment horizontal="center"/>
    </xf>
    <xf numFmtId="0" fontId="22" fillId="5" borderId="36" xfId="0" applyFont="1" applyFill="1" applyBorder="1" applyAlignment="1">
      <alignment horizontal="center"/>
    </xf>
    <xf numFmtId="0" fontId="22" fillId="5" borderId="37" xfId="0" applyFont="1" applyFill="1" applyBorder="1" applyAlignment="1">
      <alignment horizontal="center"/>
    </xf>
    <xf numFmtId="0" fontId="25" fillId="5" borderId="4" xfId="0" applyFont="1" applyFill="1" applyBorder="1"/>
    <xf numFmtId="0" fontId="25" fillId="5" borderId="5" xfId="0" applyFont="1" applyFill="1" applyBorder="1"/>
    <xf numFmtId="0" fontId="23" fillId="5" borderId="20" xfId="0" applyFont="1" applyFill="1" applyBorder="1" applyAlignment="1">
      <alignment horizontal="center" vertical="center"/>
    </xf>
    <xf numFmtId="0" fontId="23" fillId="5" borderId="21" xfId="0" applyFont="1" applyFill="1" applyBorder="1" applyAlignment="1">
      <alignment horizontal="center" vertical="center"/>
    </xf>
    <xf numFmtId="0" fontId="10" fillId="11" borderId="50" xfId="0" applyFont="1" applyFill="1" applyBorder="1" applyAlignment="1">
      <alignment horizontal="left" vertical="center" wrapText="1"/>
    </xf>
    <xf numFmtId="0" fontId="23" fillId="5" borderId="44" xfId="0" applyFont="1" applyFill="1" applyBorder="1" applyAlignment="1">
      <alignment horizontal="center" vertical="center"/>
    </xf>
    <xf numFmtId="0" fontId="38" fillId="0" borderId="0" xfId="0" applyFont="1" applyAlignment="1">
      <alignment horizontal="left" vertical="top" wrapText="1"/>
    </xf>
    <xf numFmtId="0" fontId="25" fillId="5" borderId="26" xfId="0" applyFont="1" applyFill="1" applyBorder="1" applyAlignment="1">
      <alignment horizontal="center" vertical="center"/>
    </xf>
    <xf numFmtId="0" fontId="25" fillId="5" borderId="30"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47" xfId="0" applyFont="1" applyFill="1" applyBorder="1" applyAlignment="1">
      <alignment horizontal="center" vertical="center"/>
    </xf>
    <xf numFmtId="0" fontId="22" fillId="5" borderId="36" xfId="0" applyFont="1" applyFill="1" applyBorder="1" applyAlignment="1">
      <alignment horizontal="center" vertical="center"/>
    </xf>
    <xf numFmtId="0" fontId="22" fillId="5" borderId="37"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30" xfId="0" applyFont="1" applyFill="1" applyBorder="1" applyAlignment="1">
      <alignment horizontal="center" vertical="center"/>
    </xf>
    <xf numFmtId="0" fontId="23" fillId="5" borderId="27" xfId="0" applyFont="1" applyFill="1" applyBorder="1" applyAlignment="1">
      <alignment horizontal="center" vertical="center"/>
    </xf>
    <xf numFmtId="0" fontId="5" fillId="0" borderId="34" xfId="0" applyFont="1" applyBorder="1" applyAlignment="1">
      <alignment wrapText="1"/>
    </xf>
    <xf numFmtId="0" fontId="5" fillId="0" borderId="33" xfId="0" applyFont="1" applyBorder="1" applyAlignment="1">
      <alignment wrapText="1"/>
    </xf>
    <xf numFmtId="14" fontId="24" fillId="9" borderId="8" xfId="0" applyNumberFormat="1" applyFont="1" applyFill="1" applyBorder="1" applyAlignment="1">
      <alignment horizontal="center" vertical="center"/>
    </xf>
    <xf numFmtId="14" fontId="24" fillId="9" borderId="9" xfId="0" applyNumberFormat="1" applyFont="1" applyFill="1" applyBorder="1" applyAlignment="1">
      <alignment horizontal="center" vertical="center"/>
    </xf>
    <xf numFmtId="17" fontId="24" fillId="6" borderId="5" xfId="0" applyNumberFormat="1" applyFont="1" applyFill="1" applyBorder="1" applyAlignment="1">
      <alignment horizontal="center" vertical="center"/>
    </xf>
    <xf numFmtId="0" fontId="24" fillId="6" borderId="6" xfId="0" applyFont="1" applyFill="1" applyBorder="1" applyAlignment="1">
      <alignment horizontal="center" vertical="center"/>
    </xf>
    <xf numFmtId="0" fontId="25" fillId="8" borderId="4" xfId="0" applyFont="1" applyFill="1" applyBorder="1" applyAlignment="1">
      <alignment horizontal="center" vertical="center"/>
    </xf>
    <xf numFmtId="0" fontId="25" fillId="8" borderId="5" xfId="0" applyFont="1" applyFill="1" applyBorder="1" applyAlignment="1">
      <alignment horizontal="center" vertical="center"/>
    </xf>
    <xf numFmtId="0" fontId="25" fillId="8" borderId="6" xfId="0" applyFont="1" applyFill="1" applyBorder="1" applyAlignment="1">
      <alignment horizontal="center" vertical="center"/>
    </xf>
    <xf numFmtId="0" fontId="24" fillId="9" borderId="16" xfId="0" applyFont="1" applyFill="1" applyBorder="1" applyAlignment="1">
      <alignment horizontal="center" vertical="center"/>
    </xf>
    <xf numFmtId="0" fontId="24" fillId="9" borderId="17" xfId="0" applyFont="1" applyFill="1" applyBorder="1" applyAlignment="1">
      <alignment horizontal="center" vertical="center"/>
    </xf>
    <xf numFmtId="0" fontId="3" fillId="5" borderId="14" xfId="0" applyFont="1" applyFill="1" applyBorder="1" applyAlignment="1">
      <alignment horizontal="center"/>
    </xf>
    <xf numFmtId="0" fontId="3" fillId="5" borderId="13" xfId="0" applyFont="1" applyFill="1" applyBorder="1" applyAlignment="1">
      <alignment horizontal="center"/>
    </xf>
    <xf numFmtId="0" fontId="3" fillId="5" borderId="15" xfId="0" applyFont="1" applyFill="1" applyBorder="1" applyAlignment="1">
      <alignment horizontal="center"/>
    </xf>
    <xf numFmtId="0" fontId="24" fillId="9" borderId="5" xfId="0" applyFont="1" applyFill="1" applyBorder="1" applyAlignment="1">
      <alignment horizontal="center"/>
    </xf>
    <xf numFmtId="0" fontId="24" fillId="9" borderId="6" xfId="0" applyFont="1" applyFill="1" applyBorder="1" applyAlignment="1">
      <alignment horizontal="center"/>
    </xf>
    <xf numFmtId="0" fontId="25" fillId="5" borderId="4" xfId="0" applyFont="1" applyFill="1" applyBorder="1" applyAlignment="1">
      <alignment horizontal="center"/>
    </xf>
    <xf numFmtId="0" fontId="25" fillId="5" borderId="5" xfId="0" applyFont="1" applyFill="1" applyBorder="1" applyAlignment="1">
      <alignment horizontal="center"/>
    </xf>
    <xf numFmtId="0" fontId="25" fillId="5" borderId="6" xfId="0" applyFont="1" applyFill="1" applyBorder="1" applyAlignment="1">
      <alignment horizontal="center"/>
    </xf>
    <xf numFmtId="0" fontId="24" fillId="0" borderId="5" xfId="0" applyFont="1" applyBorder="1" applyAlignment="1">
      <alignment horizontal="right"/>
    </xf>
    <xf numFmtId="0" fontId="24" fillId="0" borderId="6" xfId="0" applyFont="1" applyBorder="1" applyAlignment="1">
      <alignment horizontal="right"/>
    </xf>
    <xf numFmtId="0" fontId="24" fillId="9" borderId="5" xfId="0" applyFont="1" applyFill="1" applyBorder="1" applyAlignment="1">
      <alignment horizontal="right" vertical="center"/>
    </xf>
    <xf numFmtId="0" fontId="24" fillId="9" borderId="6" xfId="0" applyFont="1" applyFill="1" applyBorder="1" applyAlignment="1">
      <alignment horizontal="right" vertical="center"/>
    </xf>
    <xf numFmtId="44" fontId="24" fillId="9" borderId="5" xfId="0" applyNumberFormat="1" applyFont="1" applyFill="1" applyBorder="1" applyAlignment="1">
      <alignment horizontal="right" vertical="center"/>
    </xf>
    <xf numFmtId="44" fontId="24" fillId="9" borderId="6" xfId="0" applyNumberFormat="1" applyFont="1" applyFill="1" applyBorder="1" applyAlignment="1">
      <alignment horizontal="right" vertical="center"/>
    </xf>
    <xf numFmtId="0" fontId="24" fillId="3" borderId="4" xfId="0" applyFont="1" applyFill="1" applyBorder="1" applyAlignment="1">
      <alignment horizontal="left" vertical="center"/>
    </xf>
    <xf numFmtId="0" fontId="24" fillId="3" borderId="5" xfId="0" applyFont="1" applyFill="1" applyBorder="1" applyAlignment="1">
      <alignment horizontal="left" vertical="center"/>
    </xf>
    <xf numFmtId="0" fontId="24" fillId="3" borderId="6" xfId="0" applyFont="1" applyFill="1" applyBorder="1" applyAlignment="1">
      <alignment horizontal="left" vertical="center"/>
    </xf>
    <xf numFmtId="0" fontId="39" fillId="0" borderId="28" xfId="0" applyFont="1" applyBorder="1" applyAlignment="1">
      <alignment horizontal="center" vertical="center"/>
    </xf>
    <xf numFmtId="0" fontId="39" fillId="0" borderId="24" xfId="0" applyFont="1" applyBorder="1" applyAlignment="1">
      <alignment horizontal="center" vertical="center"/>
    </xf>
    <xf numFmtId="0" fontId="40" fillId="0" borderId="46" xfId="0" applyFont="1" applyBorder="1" applyAlignment="1">
      <alignment horizontal="center" vertical="center"/>
    </xf>
    <xf numFmtId="0" fontId="40" fillId="0" borderId="47" xfId="0" applyFont="1" applyBorder="1" applyAlignment="1">
      <alignment horizontal="center" vertical="center"/>
    </xf>
    <xf numFmtId="0" fontId="29" fillId="9" borderId="22" xfId="0" applyFont="1" applyFill="1" applyBorder="1" applyAlignment="1">
      <alignment horizontal="center" vertical="center"/>
    </xf>
    <xf numFmtId="0" fontId="29" fillId="9" borderId="35" xfId="0" applyFont="1" applyFill="1" applyBorder="1" applyAlignment="1">
      <alignment horizontal="center" vertical="center"/>
    </xf>
    <xf numFmtId="0" fontId="29" fillId="9" borderId="23" xfId="0" applyFont="1" applyFill="1" applyBorder="1" applyAlignment="1">
      <alignment horizontal="center" vertical="center"/>
    </xf>
    <xf numFmtId="0" fontId="24" fillId="3" borderId="12" xfId="0" applyFont="1" applyFill="1" applyBorder="1" applyAlignment="1">
      <alignment horizontal="left" vertical="center"/>
    </xf>
    <xf numFmtId="0" fontId="24" fillId="3" borderId="31" xfId="0" applyFont="1" applyFill="1" applyBorder="1" applyAlignment="1">
      <alignment horizontal="left" vertical="center"/>
    </xf>
    <xf numFmtId="0" fontId="24" fillId="3" borderId="32" xfId="0" applyFont="1" applyFill="1" applyBorder="1" applyAlignment="1">
      <alignment horizontal="left" vertical="center"/>
    </xf>
    <xf numFmtId="0" fontId="24" fillId="5" borderId="4" xfId="0" applyFont="1" applyFill="1" applyBorder="1" applyAlignment="1">
      <alignment horizontal="left" vertical="center"/>
    </xf>
    <xf numFmtId="0" fontId="24" fillId="5" borderId="5" xfId="0" applyFont="1" applyFill="1" applyBorder="1" applyAlignment="1">
      <alignment horizontal="left" vertical="center"/>
    </xf>
    <xf numFmtId="0" fontId="24" fillId="5" borderId="6" xfId="0" applyFont="1" applyFill="1" applyBorder="1" applyAlignment="1">
      <alignment horizontal="left" vertical="center"/>
    </xf>
    <xf numFmtId="0" fontId="30" fillId="0" borderId="28" xfId="0" applyFont="1" applyBorder="1" applyAlignment="1">
      <alignment horizontal="center"/>
    </xf>
    <xf numFmtId="0" fontId="30" fillId="0" borderId="24" xfId="0" applyFont="1" applyBorder="1" applyAlignment="1">
      <alignment horizontal="center"/>
    </xf>
    <xf numFmtId="0" fontId="30" fillId="0" borderId="21" xfId="0" applyFont="1" applyBorder="1" applyAlignment="1">
      <alignment horizontal="center"/>
    </xf>
    <xf numFmtId="0" fontId="30" fillId="0" borderId="61" xfId="0" applyFont="1" applyBorder="1" applyAlignment="1">
      <alignment horizontal="center"/>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17" fontId="0" fillId="2" borderId="60" xfId="0" applyNumberFormat="1" applyFill="1" applyBorder="1" applyAlignment="1">
      <alignment horizontal="center" vertical="center"/>
    </xf>
    <xf numFmtId="17" fontId="0" fillId="2" borderId="46" xfId="0" applyNumberFormat="1" applyFill="1" applyBorder="1" applyAlignment="1">
      <alignment horizontal="center" vertical="center"/>
    </xf>
    <xf numFmtId="44" fontId="0" fillId="2" borderId="62" xfId="4" applyFont="1" applyFill="1" applyBorder="1" applyAlignment="1">
      <alignment horizontal="center" vertical="center" wrapText="1"/>
    </xf>
    <xf numFmtId="44" fontId="0" fillId="2" borderId="49" xfId="4" applyFont="1" applyFill="1" applyBorder="1" applyAlignment="1">
      <alignment horizontal="center" vertical="center" wrapText="1"/>
    </xf>
    <xf numFmtId="0" fontId="44" fillId="2" borderId="60" xfId="0" applyFont="1" applyFill="1" applyBorder="1" applyAlignment="1">
      <alignment horizontal="center" vertical="center" wrapText="1"/>
    </xf>
    <xf numFmtId="0" fontId="44" fillId="2" borderId="46" xfId="0" applyFont="1" applyFill="1" applyBorder="1" applyAlignment="1">
      <alignment horizontal="center" vertical="center" wrapText="1"/>
    </xf>
  </cellXfs>
  <cellStyles count="44">
    <cellStyle name="Excel Built-in Hyperlink 1" xfId="35" xr:uid="{1E076AB7-CA1A-4D84-AC43-CF1FB5AD50EE}"/>
    <cellStyle name="Hiperlink 2" xfId="13" xr:uid="{92ADD7B2-2902-4DC7-8D27-D243CF12AC80}"/>
    <cellStyle name="Hiperlink 3" xfId="14" xr:uid="{70A06F86-EF57-4606-AAFE-56AE4B2D864E}"/>
    <cellStyle name="Moeda" xfId="4" builtinId="4"/>
    <cellStyle name="Moeda 2" xfId="6" xr:uid="{7996E9D5-82DA-49C8-A799-C1FBB8FEAB55}"/>
    <cellStyle name="Moeda 2 2" xfId="15" xr:uid="{0AC396C7-8BFE-49DB-9A55-64F50EF2AB69}"/>
    <cellStyle name="Moeda 2 3" xfId="39" xr:uid="{0D094FFD-FD2F-4AD9-BE55-2130A8DEAAF8}"/>
    <cellStyle name="Moeda 3" xfId="8" xr:uid="{DC39680C-5636-4365-8145-092EE0D7939B}"/>
    <cellStyle name="Moeda 3 2" xfId="16" xr:uid="{CF117DCC-B481-4D4D-934A-C105FF22F182}"/>
    <cellStyle name="Moeda 3 3" xfId="41" xr:uid="{428509D1-5F3A-403E-91B6-9B5F49AC6CFB}"/>
    <cellStyle name="Moeda 4" xfId="10" xr:uid="{AA810FD7-6BF4-4117-A511-631AD5B863AB}"/>
    <cellStyle name="Moeda 4 2" xfId="17" xr:uid="{6537DF22-F418-4321-AB7E-019CBE96F243}"/>
    <cellStyle name="Moeda 4 3" xfId="43" xr:uid="{C6588E79-DF7E-46CB-8C45-BD0559742400}"/>
    <cellStyle name="Moeda 5" xfId="18" xr:uid="{D2753D22-BFF5-474D-9629-567ABC0ABE75}"/>
    <cellStyle name="Moeda 6" xfId="19" xr:uid="{19A3F225-56D7-4FDC-8400-2C5822934950}"/>
    <cellStyle name="Moeda 7" xfId="37" xr:uid="{DDA2A8D4-675D-4927-A405-E1DA7552A22D}"/>
    <cellStyle name="Normal" xfId="0" builtinId="0"/>
    <cellStyle name="Normal 2" xfId="20" xr:uid="{16EEFB67-5469-46BA-B399-2C3C9FE48A0E}"/>
    <cellStyle name="Normal 2 2" xfId="2" xr:uid="{D7B8AEAB-6D76-42BD-BFA1-2B6BEF9523E1}"/>
    <cellStyle name="Normal 2 2 2" xfId="21" xr:uid="{9C35B80F-499A-4A24-BEB5-010A29B533C5}"/>
    <cellStyle name="Normal 2 3" xfId="22" xr:uid="{D890BDA1-5778-442F-B843-D66756895A23}"/>
    <cellStyle name="Normal 3" xfId="23" xr:uid="{697CE5F6-72E7-44AA-AE78-CEA3719BE21C}"/>
    <cellStyle name="Normal 3 2" xfId="24" xr:uid="{4323C2F0-458E-4D5F-87E6-59CA799EB041}"/>
    <cellStyle name="Normal 4" xfId="25" xr:uid="{3FD1D036-70CD-40A1-85E2-928ED9316705}"/>
    <cellStyle name="Normal 5" xfId="26" xr:uid="{8D1EC6A3-6D02-480D-ABAB-9AFB6BCBB58D}"/>
    <cellStyle name="Normal 6" xfId="12" xr:uid="{31616AAB-23AB-42E6-9B24-80E51134DD8B}"/>
    <cellStyle name="Porcentagem" xfId="11" builtinId="5"/>
    <cellStyle name="Porcentagem 2" xfId="27" xr:uid="{695739D1-2752-45EC-B43F-38AAED896D4C}"/>
    <cellStyle name="Porcentagem 3" xfId="28" xr:uid="{986DAE13-B235-427C-AEF6-2A5C3576DAF9}"/>
    <cellStyle name="Porcentagem 3 2" xfId="3" xr:uid="{8D8D1247-CA7C-4B21-A325-F2B76ADC6A6A}"/>
    <cellStyle name="Porcentagem 3 2 2" xfId="29" xr:uid="{EA7493A2-5658-48FF-BBED-18A116AEFDEE}"/>
    <cellStyle name="Vírgula" xfId="1" builtinId="3"/>
    <cellStyle name="Vírgula 2" xfId="5" xr:uid="{0E5D20C9-12CC-4665-85D9-95DC7D86AA87}"/>
    <cellStyle name="Vírgula 2 2" xfId="30" xr:uid="{0DFD0EA7-B736-4D50-B9D1-46BD583F4AE0}"/>
    <cellStyle name="Vírgula 2 3" xfId="38" xr:uid="{7A0EF237-B3BF-4EA1-99C9-B234F9C9B302}"/>
    <cellStyle name="Vírgula 3" xfId="7" xr:uid="{5CAAF9A3-FC75-47B3-A0FB-61BFA17EDFC6}"/>
    <cellStyle name="Vírgula 3 2" xfId="31" xr:uid="{66C8D008-9229-46C2-8EB5-4EE6B1268EE9}"/>
    <cellStyle name="Vírgula 3 3" xfId="40" xr:uid="{62CC92A3-F5F9-4829-A5F3-F3CE66C771D6}"/>
    <cellStyle name="Vírgula 4" xfId="9" xr:uid="{963201C3-EA30-41E4-BD84-AA351B2D5FBC}"/>
    <cellStyle name="Vírgula 4 2" xfId="32" xr:uid="{DB655B8C-D982-42EB-B462-DDE2D0E20AA8}"/>
    <cellStyle name="Vírgula 4 3" xfId="42" xr:uid="{244DC2BC-6A29-4921-8410-1F353C40F18F}"/>
    <cellStyle name="Vírgula 5" xfId="33" xr:uid="{F5D2131A-F6F7-4E5D-8176-93E78A2E6B37}"/>
    <cellStyle name="Vírgula 6" xfId="34" xr:uid="{F4536BEC-B819-4A73-8731-1074EF5D34F7}"/>
    <cellStyle name="Vírgula 7" xfId="36" xr:uid="{6685470D-5822-4111-AFE3-E98B3D85ED54}"/>
  </cellStyles>
  <dxfs count="6">
    <dxf>
      <font>
        <b val="0"/>
        <i val="0"/>
        <color theme="1"/>
      </font>
      <fill>
        <patternFill>
          <bgColor theme="8" tint="0.39994506668294322"/>
        </patternFill>
      </fill>
    </dxf>
    <dxf>
      <font>
        <b val="0"/>
        <i val="0"/>
        <color theme="1"/>
      </font>
      <fill>
        <patternFill>
          <bgColor theme="8" tint="0.39994506668294322"/>
        </patternFill>
      </fill>
    </dxf>
    <dxf>
      <font>
        <b val="0"/>
        <i val="0"/>
        <color theme="1"/>
      </font>
      <fill>
        <patternFill>
          <bgColor theme="8" tint="0.39994506668294322"/>
        </patternFill>
      </fill>
    </dxf>
    <dxf>
      <font>
        <b val="0"/>
        <i val="0"/>
        <color theme="1"/>
      </font>
      <fill>
        <patternFill>
          <bgColor theme="8" tint="0.39994506668294322"/>
        </patternFill>
      </fill>
    </dxf>
    <dxf>
      <font>
        <b val="0"/>
        <i val="0"/>
        <color theme="1"/>
      </font>
      <fill>
        <patternFill>
          <bgColor theme="8" tint="0.39994506668294322"/>
        </patternFill>
      </fill>
    </dxf>
    <dxf>
      <font>
        <b val="0"/>
        <i val="0"/>
        <color theme="1"/>
      </font>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76200</xdr:colOff>
      <xdr:row>0</xdr:row>
      <xdr:rowOff>161926</xdr:rowOff>
    </xdr:from>
    <xdr:to>
      <xdr:col>1</xdr:col>
      <xdr:colOff>2021905</xdr:colOff>
      <xdr:row>2</xdr:row>
      <xdr:rowOff>161926</xdr:rowOff>
    </xdr:to>
    <xdr:pic>
      <xdr:nvPicPr>
        <xdr:cNvPr id="4" name="Imagem 3">
          <a:extLst>
            <a:ext uri="{FF2B5EF4-FFF2-40B4-BE49-F238E27FC236}">
              <a16:creationId xmlns:a16="http://schemas.microsoft.com/office/drawing/2014/main" id="{D0C57E72-4D69-4BFC-A9CC-92E50F45DF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161926"/>
          <a:ext cx="194570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342900</xdr:colOff>
      <xdr:row>0</xdr:row>
      <xdr:rowOff>114300</xdr:rowOff>
    </xdr:from>
    <xdr:to>
      <xdr:col>1</xdr:col>
      <xdr:colOff>1857375</xdr:colOff>
      <xdr:row>1</xdr:row>
      <xdr:rowOff>321434</xdr:rowOff>
    </xdr:to>
    <xdr:pic>
      <xdr:nvPicPr>
        <xdr:cNvPr id="2" name="Imagem 1">
          <a:extLst>
            <a:ext uri="{FF2B5EF4-FFF2-40B4-BE49-F238E27FC236}">
              <a16:creationId xmlns:a16="http://schemas.microsoft.com/office/drawing/2014/main" id="{126F2E1B-EB33-4D57-BE4A-9774D72BF8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114300"/>
          <a:ext cx="1514475" cy="8643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342900</xdr:colOff>
      <xdr:row>0</xdr:row>
      <xdr:rowOff>114300</xdr:rowOff>
    </xdr:from>
    <xdr:to>
      <xdr:col>1</xdr:col>
      <xdr:colOff>1857375</xdr:colOff>
      <xdr:row>1</xdr:row>
      <xdr:rowOff>321434</xdr:rowOff>
    </xdr:to>
    <xdr:pic>
      <xdr:nvPicPr>
        <xdr:cNvPr id="2" name="Imagem 1">
          <a:extLst>
            <a:ext uri="{FF2B5EF4-FFF2-40B4-BE49-F238E27FC236}">
              <a16:creationId xmlns:a16="http://schemas.microsoft.com/office/drawing/2014/main" id="{8BB8FBF1-611B-4CE3-BB45-5C4CABF23F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114300"/>
          <a:ext cx="1514475" cy="8643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342900</xdr:colOff>
      <xdr:row>0</xdr:row>
      <xdr:rowOff>114300</xdr:rowOff>
    </xdr:from>
    <xdr:to>
      <xdr:col>1</xdr:col>
      <xdr:colOff>1857375</xdr:colOff>
      <xdr:row>1</xdr:row>
      <xdr:rowOff>321434</xdr:rowOff>
    </xdr:to>
    <xdr:pic>
      <xdr:nvPicPr>
        <xdr:cNvPr id="2" name="Imagem 1">
          <a:extLst>
            <a:ext uri="{FF2B5EF4-FFF2-40B4-BE49-F238E27FC236}">
              <a16:creationId xmlns:a16="http://schemas.microsoft.com/office/drawing/2014/main" id="{19052C92-F429-40B2-B1EF-103CB555AE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114300"/>
          <a:ext cx="1514475" cy="8643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342900</xdr:colOff>
      <xdr:row>0</xdr:row>
      <xdr:rowOff>114300</xdr:rowOff>
    </xdr:from>
    <xdr:to>
      <xdr:col>1</xdr:col>
      <xdr:colOff>1857375</xdr:colOff>
      <xdr:row>1</xdr:row>
      <xdr:rowOff>321434</xdr:rowOff>
    </xdr:to>
    <xdr:pic>
      <xdr:nvPicPr>
        <xdr:cNvPr id="2" name="Imagem 1">
          <a:extLst>
            <a:ext uri="{FF2B5EF4-FFF2-40B4-BE49-F238E27FC236}">
              <a16:creationId xmlns:a16="http://schemas.microsoft.com/office/drawing/2014/main" id="{C0E98E47-B438-4DFD-BE79-FFCD8F9A7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114300"/>
          <a:ext cx="1514475" cy="8643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342900</xdr:colOff>
      <xdr:row>0</xdr:row>
      <xdr:rowOff>114300</xdr:rowOff>
    </xdr:from>
    <xdr:to>
      <xdr:col>1</xdr:col>
      <xdr:colOff>1857375</xdr:colOff>
      <xdr:row>1</xdr:row>
      <xdr:rowOff>321434</xdr:rowOff>
    </xdr:to>
    <xdr:pic>
      <xdr:nvPicPr>
        <xdr:cNvPr id="2" name="Imagem 1">
          <a:extLst>
            <a:ext uri="{FF2B5EF4-FFF2-40B4-BE49-F238E27FC236}">
              <a16:creationId xmlns:a16="http://schemas.microsoft.com/office/drawing/2014/main" id="{0853349A-B98E-4CC1-8CF5-8A3C939EB1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114300"/>
          <a:ext cx="1514475" cy="8643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342900</xdr:colOff>
      <xdr:row>0</xdr:row>
      <xdr:rowOff>114300</xdr:rowOff>
    </xdr:from>
    <xdr:to>
      <xdr:col>1</xdr:col>
      <xdr:colOff>1857375</xdr:colOff>
      <xdr:row>1</xdr:row>
      <xdr:rowOff>321434</xdr:rowOff>
    </xdr:to>
    <xdr:pic>
      <xdr:nvPicPr>
        <xdr:cNvPr id="3" name="Imagem 2">
          <a:extLst>
            <a:ext uri="{FF2B5EF4-FFF2-40B4-BE49-F238E27FC236}">
              <a16:creationId xmlns:a16="http://schemas.microsoft.com/office/drawing/2014/main" id="{0488E3FB-56B8-8CBA-A138-38196C956D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114300"/>
          <a:ext cx="1514475" cy="8643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95BBE-65C9-4461-9AAD-ADCFB977C259}">
  <sheetPr codeName="Planilha1">
    <tabColor rgb="FFC00000"/>
  </sheetPr>
  <dimension ref="A1:H60"/>
  <sheetViews>
    <sheetView showGridLines="0" view="pageBreakPreview" topLeftCell="A35" zoomScale="85" zoomScaleNormal="100" zoomScaleSheetLayoutView="85" workbookViewId="0">
      <selection activeCell="B38" sqref="B38"/>
    </sheetView>
  </sheetViews>
  <sheetFormatPr defaultRowHeight="14.4"/>
  <cols>
    <col min="1" max="1" width="4.33203125" customWidth="1"/>
    <col min="2" max="2" width="108.33203125" customWidth="1"/>
    <col min="3" max="3" width="21.109375" customWidth="1"/>
    <col min="4" max="4" width="2.88671875" customWidth="1"/>
    <col min="5" max="5" width="10.6640625" bestFit="1" customWidth="1"/>
    <col min="256" max="256" width="5" customWidth="1"/>
    <col min="257" max="257" width="108.33203125" customWidth="1"/>
    <col min="258" max="258" width="14.88671875" customWidth="1"/>
    <col min="259" max="259" width="12.33203125" customWidth="1"/>
    <col min="512" max="512" width="5" customWidth="1"/>
    <col min="513" max="513" width="108.33203125" customWidth="1"/>
    <col min="514" max="514" width="14.88671875" customWidth="1"/>
    <col min="515" max="515" width="12.33203125" customWidth="1"/>
    <col min="768" max="768" width="5" customWidth="1"/>
    <col min="769" max="769" width="108.33203125" customWidth="1"/>
    <col min="770" max="770" width="14.88671875" customWidth="1"/>
    <col min="771" max="771" width="12.33203125" customWidth="1"/>
    <col min="1024" max="1024" width="5" customWidth="1"/>
    <col min="1025" max="1025" width="108.33203125" customWidth="1"/>
    <col min="1026" max="1026" width="14.88671875" customWidth="1"/>
    <col min="1027" max="1027" width="12.33203125" customWidth="1"/>
    <col min="1280" max="1280" width="5" customWidth="1"/>
    <col min="1281" max="1281" width="108.33203125" customWidth="1"/>
    <col min="1282" max="1282" width="14.88671875" customWidth="1"/>
    <col min="1283" max="1283" width="12.33203125" customWidth="1"/>
    <col min="1536" max="1536" width="5" customWidth="1"/>
    <col min="1537" max="1537" width="108.33203125" customWidth="1"/>
    <col min="1538" max="1538" width="14.88671875" customWidth="1"/>
    <col min="1539" max="1539" width="12.33203125" customWidth="1"/>
    <col min="1792" max="1792" width="5" customWidth="1"/>
    <col min="1793" max="1793" width="108.33203125" customWidth="1"/>
    <col min="1794" max="1794" width="14.88671875" customWidth="1"/>
    <col min="1795" max="1795" width="12.33203125" customWidth="1"/>
    <col min="2048" max="2048" width="5" customWidth="1"/>
    <col min="2049" max="2049" width="108.33203125" customWidth="1"/>
    <col min="2050" max="2050" width="14.88671875" customWidth="1"/>
    <col min="2051" max="2051" width="12.33203125" customWidth="1"/>
    <col min="2304" max="2304" width="5" customWidth="1"/>
    <col min="2305" max="2305" width="108.33203125" customWidth="1"/>
    <col min="2306" max="2306" width="14.88671875" customWidth="1"/>
    <col min="2307" max="2307" width="12.33203125" customWidth="1"/>
    <col min="2560" max="2560" width="5" customWidth="1"/>
    <col min="2561" max="2561" width="108.33203125" customWidth="1"/>
    <col min="2562" max="2562" width="14.88671875" customWidth="1"/>
    <col min="2563" max="2563" width="12.33203125" customWidth="1"/>
    <col min="2816" max="2816" width="5" customWidth="1"/>
    <col min="2817" max="2817" width="108.33203125" customWidth="1"/>
    <col min="2818" max="2818" width="14.88671875" customWidth="1"/>
    <col min="2819" max="2819" width="12.33203125" customWidth="1"/>
    <col min="3072" max="3072" width="5" customWidth="1"/>
    <col min="3073" max="3073" width="108.33203125" customWidth="1"/>
    <col min="3074" max="3074" width="14.88671875" customWidth="1"/>
    <col min="3075" max="3075" width="12.33203125" customWidth="1"/>
    <col min="3328" max="3328" width="5" customWidth="1"/>
    <col min="3329" max="3329" width="108.33203125" customWidth="1"/>
    <col min="3330" max="3330" width="14.88671875" customWidth="1"/>
    <col min="3331" max="3331" width="12.33203125" customWidth="1"/>
    <col min="3584" max="3584" width="5" customWidth="1"/>
    <col min="3585" max="3585" width="108.33203125" customWidth="1"/>
    <col min="3586" max="3586" width="14.88671875" customWidth="1"/>
    <col min="3587" max="3587" width="12.33203125" customWidth="1"/>
    <col min="3840" max="3840" width="5" customWidth="1"/>
    <col min="3841" max="3841" width="108.33203125" customWidth="1"/>
    <col min="3842" max="3842" width="14.88671875" customWidth="1"/>
    <col min="3843" max="3843" width="12.33203125" customWidth="1"/>
    <col min="4096" max="4096" width="5" customWidth="1"/>
    <col min="4097" max="4097" width="108.33203125" customWidth="1"/>
    <col min="4098" max="4098" width="14.88671875" customWidth="1"/>
    <col min="4099" max="4099" width="12.33203125" customWidth="1"/>
    <col min="4352" max="4352" width="5" customWidth="1"/>
    <col min="4353" max="4353" width="108.33203125" customWidth="1"/>
    <col min="4354" max="4354" width="14.88671875" customWidth="1"/>
    <col min="4355" max="4355" width="12.33203125" customWidth="1"/>
    <col min="4608" max="4608" width="5" customWidth="1"/>
    <col min="4609" max="4609" width="108.33203125" customWidth="1"/>
    <col min="4610" max="4610" width="14.88671875" customWidth="1"/>
    <col min="4611" max="4611" width="12.33203125" customWidth="1"/>
    <col min="4864" max="4864" width="5" customWidth="1"/>
    <col min="4865" max="4865" width="108.33203125" customWidth="1"/>
    <col min="4866" max="4866" width="14.88671875" customWidth="1"/>
    <col min="4867" max="4867" width="12.33203125" customWidth="1"/>
    <col min="5120" max="5120" width="5" customWidth="1"/>
    <col min="5121" max="5121" width="108.33203125" customWidth="1"/>
    <col min="5122" max="5122" width="14.88671875" customWidth="1"/>
    <col min="5123" max="5123" width="12.33203125" customWidth="1"/>
    <col min="5376" max="5376" width="5" customWidth="1"/>
    <col min="5377" max="5377" width="108.33203125" customWidth="1"/>
    <col min="5378" max="5378" width="14.88671875" customWidth="1"/>
    <col min="5379" max="5379" width="12.33203125" customWidth="1"/>
    <col min="5632" max="5632" width="5" customWidth="1"/>
    <col min="5633" max="5633" width="108.33203125" customWidth="1"/>
    <col min="5634" max="5634" width="14.88671875" customWidth="1"/>
    <col min="5635" max="5635" width="12.33203125" customWidth="1"/>
    <col min="5888" max="5888" width="5" customWidth="1"/>
    <col min="5889" max="5889" width="108.33203125" customWidth="1"/>
    <col min="5890" max="5890" width="14.88671875" customWidth="1"/>
    <col min="5891" max="5891" width="12.33203125" customWidth="1"/>
    <col min="6144" max="6144" width="5" customWidth="1"/>
    <col min="6145" max="6145" width="108.33203125" customWidth="1"/>
    <col min="6146" max="6146" width="14.88671875" customWidth="1"/>
    <col min="6147" max="6147" width="12.33203125" customWidth="1"/>
    <col min="6400" max="6400" width="5" customWidth="1"/>
    <col min="6401" max="6401" width="108.33203125" customWidth="1"/>
    <col min="6402" max="6402" width="14.88671875" customWidth="1"/>
    <col min="6403" max="6403" width="12.33203125" customWidth="1"/>
    <col min="6656" max="6656" width="5" customWidth="1"/>
    <col min="6657" max="6657" width="108.33203125" customWidth="1"/>
    <col min="6658" max="6658" width="14.88671875" customWidth="1"/>
    <col min="6659" max="6659" width="12.33203125" customWidth="1"/>
    <col min="6912" max="6912" width="5" customWidth="1"/>
    <col min="6913" max="6913" width="108.33203125" customWidth="1"/>
    <col min="6914" max="6914" width="14.88671875" customWidth="1"/>
    <col min="6915" max="6915" width="12.33203125" customWidth="1"/>
    <col min="7168" max="7168" width="5" customWidth="1"/>
    <col min="7169" max="7169" width="108.33203125" customWidth="1"/>
    <col min="7170" max="7170" width="14.88671875" customWidth="1"/>
    <col min="7171" max="7171" width="12.33203125" customWidth="1"/>
    <col min="7424" max="7424" width="5" customWidth="1"/>
    <col min="7425" max="7425" width="108.33203125" customWidth="1"/>
    <col min="7426" max="7426" width="14.88671875" customWidth="1"/>
    <col min="7427" max="7427" width="12.33203125" customWidth="1"/>
    <col min="7680" max="7680" width="5" customWidth="1"/>
    <col min="7681" max="7681" width="108.33203125" customWidth="1"/>
    <col min="7682" max="7682" width="14.88671875" customWidth="1"/>
    <col min="7683" max="7683" width="12.33203125" customWidth="1"/>
    <col min="7936" max="7936" width="5" customWidth="1"/>
    <col min="7937" max="7937" width="108.33203125" customWidth="1"/>
    <col min="7938" max="7938" width="14.88671875" customWidth="1"/>
    <col min="7939" max="7939" width="12.33203125" customWidth="1"/>
    <col min="8192" max="8192" width="5" customWidth="1"/>
    <col min="8193" max="8193" width="108.33203125" customWidth="1"/>
    <col min="8194" max="8194" width="14.88671875" customWidth="1"/>
    <col min="8195" max="8195" width="12.33203125" customWidth="1"/>
    <col min="8448" max="8448" width="5" customWidth="1"/>
    <col min="8449" max="8449" width="108.33203125" customWidth="1"/>
    <col min="8450" max="8450" width="14.88671875" customWidth="1"/>
    <col min="8451" max="8451" width="12.33203125" customWidth="1"/>
    <col min="8704" max="8704" width="5" customWidth="1"/>
    <col min="8705" max="8705" width="108.33203125" customWidth="1"/>
    <col min="8706" max="8706" width="14.88671875" customWidth="1"/>
    <col min="8707" max="8707" width="12.33203125" customWidth="1"/>
    <col min="8960" max="8960" width="5" customWidth="1"/>
    <col min="8961" max="8961" width="108.33203125" customWidth="1"/>
    <col min="8962" max="8962" width="14.88671875" customWidth="1"/>
    <col min="8963" max="8963" width="12.33203125" customWidth="1"/>
    <col min="9216" max="9216" width="5" customWidth="1"/>
    <col min="9217" max="9217" width="108.33203125" customWidth="1"/>
    <col min="9218" max="9218" width="14.88671875" customWidth="1"/>
    <col min="9219" max="9219" width="12.33203125" customWidth="1"/>
    <col min="9472" max="9472" width="5" customWidth="1"/>
    <col min="9473" max="9473" width="108.33203125" customWidth="1"/>
    <col min="9474" max="9474" width="14.88671875" customWidth="1"/>
    <col min="9475" max="9475" width="12.33203125" customWidth="1"/>
    <col min="9728" max="9728" width="5" customWidth="1"/>
    <col min="9729" max="9729" width="108.33203125" customWidth="1"/>
    <col min="9730" max="9730" width="14.88671875" customWidth="1"/>
    <col min="9731" max="9731" width="12.33203125" customWidth="1"/>
    <col min="9984" max="9984" width="5" customWidth="1"/>
    <col min="9985" max="9985" width="108.33203125" customWidth="1"/>
    <col min="9986" max="9986" width="14.88671875" customWidth="1"/>
    <col min="9987" max="9987" width="12.33203125" customWidth="1"/>
    <col min="10240" max="10240" width="5" customWidth="1"/>
    <col min="10241" max="10241" width="108.33203125" customWidth="1"/>
    <col min="10242" max="10242" width="14.88671875" customWidth="1"/>
    <col min="10243" max="10243" width="12.33203125" customWidth="1"/>
    <col min="10496" max="10496" width="5" customWidth="1"/>
    <col min="10497" max="10497" width="108.33203125" customWidth="1"/>
    <col min="10498" max="10498" width="14.88671875" customWidth="1"/>
    <col min="10499" max="10499" width="12.33203125" customWidth="1"/>
    <col min="10752" max="10752" width="5" customWidth="1"/>
    <col min="10753" max="10753" width="108.33203125" customWidth="1"/>
    <col min="10754" max="10754" width="14.88671875" customWidth="1"/>
    <col min="10755" max="10755" width="12.33203125" customWidth="1"/>
    <col min="11008" max="11008" width="5" customWidth="1"/>
    <col min="11009" max="11009" width="108.33203125" customWidth="1"/>
    <col min="11010" max="11010" width="14.88671875" customWidth="1"/>
    <col min="11011" max="11011" width="12.33203125" customWidth="1"/>
    <col min="11264" max="11264" width="5" customWidth="1"/>
    <col min="11265" max="11265" width="108.33203125" customWidth="1"/>
    <col min="11266" max="11266" width="14.88671875" customWidth="1"/>
    <col min="11267" max="11267" width="12.33203125" customWidth="1"/>
    <col min="11520" max="11520" width="5" customWidth="1"/>
    <col min="11521" max="11521" width="108.33203125" customWidth="1"/>
    <col min="11522" max="11522" width="14.88671875" customWidth="1"/>
    <col min="11523" max="11523" width="12.33203125" customWidth="1"/>
    <col min="11776" max="11776" width="5" customWidth="1"/>
    <col min="11777" max="11777" width="108.33203125" customWidth="1"/>
    <col min="11778" max="11778" width="14.88671875" customWidth="1"/>
    <col min="11779" max="11779" width="12.33203125" customWidth="1"/>
    <col min="12032" max="12032" width="5" customWidth="1"/>
    <col min="12033" max="12033" width="108.33203125" customWidth="1"/>
    <col min="12034" max="12034" width="14.88671875" customWidth="1"/>
    <col min="12035" max="12035" width="12.33203125" customWidth="1"/>
    <col min="12288" max="12288" width="5" customWidth="1"/>
    <col min="12289" max="12289" width="108.33203125" customWidth="1"/>
    <col min="12290" max="12290" width="14.88671875" customWidth="1"/>
    <col min="12291" max="12291" width="12.33203125" customWidth="1"/>
    <col min="12544" max="12544" width="5" customWidth="1"/>
    <col min="12545" max="12545" width="108.33203125" customWidth="1"/>
    <col min="12546" max="12546" width="14.88671875" customWidth="1"/>
    <col min="12547" max="12547" width="12.33203125" customWidth="1"/>
    <col min="12800" max="12800" width="5" customWidth="1"/>
    <col min="12801" max="12801" width="108.33203125" customWidth="1"/>
    <col min="12802" max="12802" width="14.88671875" customWidth="1"/>
    <col min="12803" max="12803" width="12.33203125" customWidth="1"/>
    <col min="13056" max="13056" width="5" customWidth="1"/>
    <col min="13057" max="13057" width="108.33203125" customWidth="1"/>
    <col min="13058" max="13058" width="14.88671875" customWidth="1"/>
    <col min="13059" max="13059" width="12.33203125" customWidth="1"/>
    <col min="13312" max="13312" width="5" customWidth="1"/>
    <col min="13313" max="13313" width="108.33203125" customWidth="1"/>
    <col min="13314" max="13314" width="14.88671875" customWidth="1"/>
    <col min="13315" max="13315" width="12.33203125" customWidth="1"/>
    <col min="13568" max="13568" width="5" customWidth="1"/>
    <col min="13569" max="13569" width="108.33203125" customWidth="1"/>
    <col min="13570" max="13570" width="14.88671875" customWidth="1"/>
    <col min="13571" max="13571" width="12.33203125" customWidth="1"/>
    <col min="13824" max="13824" width="5" customWidth="1"/>
    <col min="13825" max="13825" width="108.33203125" customWidth="1"/>
    <col min="13826" max="13826" width="14.88671875" customWidth="1"/>
    <col min="13827" max="13827" width="12.33203125" customWidth="1"/>
    <col min="14080" max="14080" width="5" customWidth="1"/>
    <col min="14081" max="14081" width="108.33203125" customWidth="1"/>
    <col min="14082" max="14082" width="14.88671875" customWidth="1"/>
    <col min="14083" max="14083" width="12.33203125" customWidth="1"/>
    <col min="14336" max="14336" width="5" customWidth="1"/>
    <col min="14337" max="14337" width="108.33203125" customWidth="1"/>
    <col min="14338" max="14338" width="14.88671875" customWidth="1"/>
    <col min="14339" max="14339" width="12.33203125" customWidth="1"/>
    <col min="14592" max="14592" width="5" customWidth="1"/>
    <col min="14593" max="14593" width="108.33203125" customWidth="1"/>
    <col min="14594" max="14594" width="14.88671875" customWidth="1"/>
    <col min="14595" max="14595" width="12.33203125" customWidth="1"/>
    <col min="14848" max="14848" width="5" customWidth="1"/>
    <col min="14849" max="14849" width="108.33203125" customWidth="1"/>
    <col min="14850" max="14850" width="14.88671875" customWidth="1"/>
    <col min="14851" max="14851" width="12.33203125" customWidth="1"/>
    <col min="15104" max="15104" width="5" customWidth="1"/>
    <col min="15105" max="15105" width="108.33203125" customWidth="1"/>
    <col min="15106" max="15106" width="14.88671875" customWidth="1"/>
    <col min="15107" max="15107" width="12.33203125" customWidth="1"/>
    <col min="15360" max="15360" width="5" customWidth="1"/>
    <col min="15361" max="15361" width="108.33203125" customWidth="1"/>
    <col min="15362" max="15362" width="14.88671875" customWidth="1"/>
    <col min="15363" max="15363" width="12.33203125" customWidth="1"/>
    <col min="15616" max="15616" width="5" customWidth="1"/>
    <col min="15617" max="15617" width="108.33203125" customWidth="1"/>
    <col min="15618" max="15618" width="14.88671875" customWidth="1"/>
    <col min="15619" max="15619" width="12.33203125" customWidth="1"/>
    <col min="15872" max="15872" width="5" customWidth="1"/>
    <col min="15873" max="15873" width="108.33203125" customWidth="1"/>
    <col min="15874" max="15874" width="14.88671875" customWidth="1"/>
    <col min="15875" max="15875" width="12.33203125" customWidth="1"/>
    <col min="16128" max="16128" width="5" customWidth="1"/>
    <col min="16129" max="16129" width="108.33203125" customWidth="1"/>
    <col min="16130" max="16130" width="14.88671875" customWidth="1"/>
    <col min="16131" max="16131" width="12.33203125" customWidth="1"/>
  </cols>
  <sheetData>
    <row r="1" spans="1:8" ht="52.35" customHeight="1">
      <c r="B1" s="116" t="s">
        <v>150</v>
      </c>
      <c r="C1" s="118"/>
    </row>
    <row r="2" spans="1:8" ht="23.25" customHeight="1">
      <c r="B2" s="117" t="s">
        <v>107</v>
      </c>
      <c r="C2" s="1"/>
      <c r="D2" s="1"/>
      <c r="E2" s="1"/>
    </row>
    <row r="3" spans="1:8" ht="15" customHeight="1" thickBot="1"/>
    <row r="4" spans="1:8">
      <c r="A4" s="83"/>
      <c r="B4" s="201" t="s">
        <v>108</v>
      </c>
      <c r="C4" s="202"/>
    </row>
    <row r="5" spans="1:8" ht="26.25" customHeight="1">
      <c r="A5" s="84"/>
      <c r="B5" s="203"/>
      <c r="C5" s="204"/>
    </row>
    <row r="6" spans="1:8" ht="15.6">
      <c r="A6" s="84"/>
      <c r="B6" s="205"/>
      <c r="C6" s="206"/>
    </row>
    <row r="7" spans="1:8" ht="21" customHeight="1">
      <c r="A7" s="84"/>
      <c r="B7" s="207" t="s">
        <v>36</v>
      </c>
      <c r="C7" s="208"/>
    </row>
    <row r="8" spans="1:8" ht="15.6">
      <c r="A8" s="84"/>
      <c r="B8" s="197" t="s">
        <v>37</v>
      </c>
      <c r="C8" s="198"/>
    </row>
    <row r="9" spans="1:8" ht="15.6">
      <c r="A9" s="84"/>
      <c r="B9" s="86" t="s">
        <v>38</v>
      </c>
      <c r="C9" s="87" t="s">
        <v>17</v>
      </c>
    </row>
    <row r="10" spans="1:8" ht="31.2">
      <c r="A10" s="84"/>
      <c r="B10" s="78" t="s">
        <v>139</v>
      </c>
      <c r="C10" s="76">
        <v>8.3299999999999999E-2</v>
      </c>
    </row>
    <row r="11" spans="1:8" ht="62.4">
      <c r="A11" s="84"/>
      <c r="B11" s="78" t="s">
        <v>140</v>
      </c>
      <c r="C11" s="76">
        <v>2.7799999999999998E-2</v>
      </c>
      <c r="H11" s="2"/>
    </row>
    <row r="12" spans="1:8" ht="18">
      <c r="A12" s="84"/>
      <c r="B12" s="88" t="s">
        <v>32</v>
      </c>
      <c r="C12" s="89">
        <f>SUM(C10:C11)</f>
        <v>0.1111</v>
      </c>
    </row>
    <row r="13" spans="1:8" ht="15.6">
      <c r="A13" s="84"/>
      <c r="B13" s="86" t="s">
        <v>39</v>
      </c>
      <c r="C13" s="87"/>
    </row>
    <row r="14" spans="1:8" ht="15.6">
      <c r="A14" s="84"/>
      <c r="B14" s="78" t="s">
        <v>40</v>
      </c>
      <c r="C14" s="76">
        <v>0.2</v>
      </c>
    </row>
    <row r="15" spans="1:8" ht="31.2">
      <c r="A15" s="84"/>
      <c r="B15" s="78" t="s">
        <v>41</v>
      </c>
      <c r="C15" s="76">
        <v>2.5000000000000001E-2</v>
      </c>
    </row>
    <row r="16" spans="1:8" ht="15.6">
      <c r="A16" s="84"/>
      <c r="B16" s="78" t="s">
        <v>42</v>
      </c>
      <c r="C16" s="77">
        <v>0.02</v>
      </c>
    </row>
    <row r="17" spans="1:6" ht="15.6">
      <c r="A17" s="84"/>
      <c r="B17" s="78" t="s">
        <v>43</v>
      </c>
      <c r="C17" s="76">
        <v>1.4999999999999999E-2</v>
      </c>
    </row>
    <row r="18" spans="1:6" ht="15.6">
      <c r="A18" s="84"/>
      <c r="B18" s="78" t="s">
        <v>44</v>
      </c>
      <c r="C18" s="76">
        <v>0.01</v>
      </c>
    </row>
    <row r="19" spans="1:6" ht="15.6">
      <c r="A19" s="84"/>
      <c r="B19" s="78" t="s">
        <v>45</v>
      </c>
      <c r="C19" s="76">
        <v>6.0000000000000001E-3</v>
      </c>
    </row>
    <row r="20" spans="1:6" ht="15.6">
      <c r="A20" s="84"/>
      <c r="B20" s="79" t="s">
        <v>46</v>
      </c>
      <c r="C20" s="76">
        <v>2E-3</v>
      </c>
    </row>
    <row r="21" spans="1:6" ht="31.2">
      <c r="A21" s="84"/>
      <c r="B21" s="78" t="s">
        <v>47</v>
      </c>
      <c r="C21" s="76">
        <v>0.08</v>
      </c>
    </row>
    <row r="22" spans="1:6" ht="18">
      <c r="A22" s="84"/>
      <c r="B22" s="88" t="s">
        <v>32</v>
      </c>
      <c r="C22" s="89">
        <f>SUM(C14:C21)</f>
        <v>0.35800000000000004</v>
      </c>
    </row>
    <row r="23" spans="1:6" ht="15" customHeight="1">
      <c r="A23" s="84"/>
      <c r="B23" s="90" t="s">
        <v>48</v>
      </c>
      <c r="C23" s="91" t="s">
        <v>17</v>
      </c>
    </row>
    <row r="24" spans="1:6" ht="62.4">
      <c r="A24" s="84"/>
      <c r="B24" s="78" t="s">
        <v>138</v>
      </c>
      <c r="C24" s="76">
        <v>4.1999999999999997E-3</v>
      </c>
      <c r="F24" t="s">
        <v>0</v>
      </c>
    </row>
    <row r="25" spans="1:6" ht="46.8">
      <c r="A25" s="84"/>
      <c r="B25" s="78" t="s">
        <v>109</v>
      </c>
      <c r="C25" s="76">
        <v>2.9999999999999997E-4</v>
      </c>
    </row>
    <row r="26" spans="1:6" ht="15.6">
      <c r="A26" s="84"/>
      <c r="B26" s="78" t="s">
        <v>121</v>
      </c>
      <c r="C26" s="76">
        <v>3.44E-2</v>
      </c>
    </row>
    <row r="27" spans="1:6" ht="93.6">
      <c r="A27" s="84"/>
      <c r="B27" s="78" t="s">
        <v>141</v>
      </c>
      <c r="C27" s="76">
        <v>1.9400000000000001E-2</v>
      </c>
    </row>
    <row r="28" spans="1:6" ht="62.4">
      <c r="A28" s="84"/>
      <c r="B28" s="79" t="s">
        <v>142</v>
      </c>
      <c r="C28" s="76">
        <v>7.1999999999999998E-3</v>
      </c>
    </row>
    <row r="29" spans="1:6" ht="54.75" customHeight="1">
      <c r="A29" s="84"/>
      <c r="B29" s="119" t="s">
        <v>145</v>
      </c>
      <c r="C29" s="76">
        <v>5.9999999999999995E-4</v>
      </c>
    </row>
    <row r="30" spans="1:6" ht="18">
      <c r="A30" s="84"/>
      <c r="B30" s="88" t="s">
        <v>32</v>
      </c>
      <c r="C30" s="89">
        <f>SUM(C24:C29)</f>
        <v>6.6100000000000006E-2</v>
      </c>
    </row>
    <row r="31" spans="1:6" ht="15.6">
      <c r="A31" s="84"/>
      <c r="B31" s="90" t="s">
        <v>49</v>
      </c>
      <c r="C31" s="91" t="s">
        <v>17</v>
      </c>
    </row>
    <row r="32" spans="1:6" ht="15" customHeight="1">
      <c r="A32" s="84"/>
      <c r="B32" s="86" t="s">
        <v>50</v>
      </c>
      <c r="C32" s="87"/>
    </row>
    <row r="33" spans="1:7" ht="46.8">
      <c r="A33" s="84"/>
      <c r="B33" s="78" t="s">
        <v>130</v>
      </c>
      <c r="C33" s="132">
        <v>8.3299999999999999E-2</v>
      </c>
    </row>
    <row r="34" spans="1:7" ht="62.4">
      <c r="A34" s="84"/>
      <c r="B34" s="78" t="s">
        <v>131</v>
      </c>
      <c r="C34" s="132">
        <v>1.66E-2</v>
      </c>
    </row>
    <row r="35" spans="1:7" ht="62.4">
      <c r="A35" s="84"/>
      <c r="B35" s="78" t="s">
        <v>132</v>
      </c>
      <c r="C35" s="132">
        <v>4.0000000000000002E-4</v>
      </c>
    </row>
    <row r="36" spans="1:7" ht="78">
      <c r="A36" s="84"/>
      <c r="B36" s="78" t="s">
        <v>134</v>
      </c>
      <c r="C36" s="132">
        <v>1.5E-3</v>
      </c>
    </row>
    <row r="37" spans="1:7" ht="62.4">
      <c r="A37" s="84"/>
      <c r="B37" s="78" t="s">
        <v>133</v>
      </c>
      <c r="C37" s="132">
        <v>2.8E-3</v>
      </c>
    </row>
    <row r="38" spans="1:7" ht="62.4">
      <c r="A38" s="84"/>
      <c r="B38" s="78" t="s">
        <v>137</v>
      </c>
      <c r="C38" s="132">
        <v>2E-3</v>
      </c>
      <c r="E38" s="114"/>
      <c r="G38" s="115"/>
    </row>
    <row r="39" spans="1:7" ht="18">
      <c r="A39" s="84"/>
      <c r="B39" s="88" t="s">
        <v>32</v>
      </c>
      <c r="C39" s="89">
        <f>SUM(C33:C38)</f>
        <v>0.1066</v>
      </c>
    </row>
    <row r="40" spans="1:7" ht="15.6" hidden="1">
      <c r="A40" s="84"/>
      <c r="B40" s="86" t="s">
        <v>51</v>
      </c>
      <c r="C40" s="87"/>
    </row>
    <row r="41" spans="1:7" ht="15.6" hidden="1">
      <c r="A41" s="84"/>
      <c r="B41" s="80" t="s">
        <v>52</v>
      </c>
      <c r="C41" s="77">
        <v>0</v>
      </c>
    </row>
    <row r="42" spans="1:7" ht="18" hidden="1">
      <c r="A42" s="84"/>
      <c r="B42" s="88" t="s">
        <v>32</v>
      </c>
      <c r="C42" s="89">
        <f>SUM(C41)</f>
        <v>0</v>
      </c>
    </row>
    <row r="43" spans="1:7" ht="15.6">
      <c r="A43" s="84"/>
      <c r="B43" s="199"/>
      <c r="C43" s="200"/>
    </row>
    <row r="44" spans="1:7" ht="15.6">
      <c r="A44" s="84"/>
      <c r="B44" s="81" t="s">
        <v>53</v>
      </c>
      <c r="C44" s="82">
        <f>ROUND(SUM(C12,C22,C30,C39,C42),2)</f>
        <v>0.64</v>
      </c>
    </row>
    <row r="45" spans="1:7">
      <c r="A45" s="85"/>
      <c r="B45" s="74"/>
      <c r="C45" s="75"/>
    </row>
    <row r="46" spans="1:7" ht="46.5" customHeight="1" thickBot="1">
      <c r="A46" s="104" t="s">
        <v>54</v>
      </c>
      <c r="B46" s="105" t="s">
        <v>55</v>
      </c>
      <c r="C46" s="106" t="s">
        <v>56</v>
      </c>
    </row>
    <row r="47" spans="1:7" ht="15">
      <c r="A47" s="107" t="s">
        <v>19</v>
      </c>
      <c r="B47" s="108" t="s">
        <v>57</v>
      </c>
      <c r="C47" s="109">
        <v>12</v>
      </c>
    </row>
    <row r="48" spans="1:7" ht="15.6" thickBot="1">
      <c r="A48" s="194" t="s">
        <v>20</v>
      </c>
      <c r="B48" s="195" t="s">
        <v>128</v>
      </c>
      <c r="C48" s="196">
        <v>752</v>
      </c>
    </row>
    <row r="59" spans="2:2">
      <c r="B59" s="96"/>
    </row>
    <row r="60" spans="2:2">
      <c r="B60" s="101"/>
    </row>
  </sheetData>
  <mergeCells count="5">
    <mergeCell ref="B8:C8"/>
    <mergeCell ref="B43:C43"/>
    <mergeCell ref="B4:C5"/>
    <mergeCell ref="B6:C6"/>
    <mergeCell ref="B7:C7"/>
  </mergeCells>
  <printOptions horizontalCentered="1"/>
  <pageMargins left="0.23622047244094491" right="0.23622047244094491" top="0.74803149606299213" bottom="0.74803149606299213" header="0.31496062992125984" footer="0.31496062992125984"/>
  <pageSetup paperSize="9" scale="71" orientation="portrait" horizontalDpi="360" verticalDpi="360" r:id="rId1"/>
  <rowBreaks count="1" manualBreakCount="1">
    <brk id="29" max="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8FE89-CDAC-4D5D-951D-CA4719873D7F}">
  <sheetPr>
    <tabColor theme="5"/>
    <pageSetUpPr fitToPage="1"/>
  </sheetPr>
  <dimension ref="B2:J22"/>
  <sheetViews>
    <sheetView view="pageBreakPreview" zoomScaleNormal="100" zoomScaleSheetLayoutView="100" workbookViewId="0">
      <selection activeCell="J8" sqref="J8"/>
    </sheetView>
  </sheetViews>
  <sheetFormatPr defaultColWidth="9.109375" defaultRowHeight="15.6"/>
  <cols>
    <col min="1" max="1" width="9.109375" style="137"/>
    <col min="2" max="2" width="12.88671875" style="137" customWidth="1"/>
    <col min="3" max="3" width="25.33203125" style="137" customWidth="1"/>
    <col min="4" max="4" width="22" style="136" bestFit="1" customWidth="1"/>
    <col min="5" max="5" width="18.6640625" style="137" customWidth="1"/>
    <col min="6" max="6" width="22.33203125" style="137" customWidth="1"/>
    <col min="7" max="7" width="20.33203125" style="137" customWidth="1"/>
    <col min="8" max="8" width="2.6640625" style="137" customWidth="1"/>
    <col min="9" max="9" width="15.88671875" style="137" bestFit="1" customWidth="1"/>
    <col min="10" max="10" width="18.33203125" style="137" bestFit="1" customWidth="1"/>
    <col min="11" max="16384" width="9.109375" style="137"/>
  </cols>
  <sheetData>
    <row r="2" spans="2:8">
      <c r="B2" s="209" t="s">
        <v>170</v>
      </c>
      <c r="C2" s="209"/>
    </row>
    <row r="3" spans="2:8">
      <c r="B3" s="210">
        <v>45348</v>
      </c>
      <c r="C3" s="210"/>
    </row>
    <row r="4" spans="2:8">
      <c r="B4" s="211">
        <v>0.39583333333333331</v>
      </c>
      <c r="C4" s="211"/>
    </row>
    <row r="6" spans="2:8" ht="16.2" thickBot="1"/>
    <row r="7" spans="2:8">
      <c r="B7" s="185" t="s">
        <v>127</v>
      </c>
      <c r="C7" s="186" t="s">
        <v>123</v>
      </c>
      <c r="D7" s="186" t="s">
        <v>124</v>
      </c>
      <c r="E7" s="186" t="s">
        <v>125</v>
      </c>
      <c r="F7" s="186" t="s">
        <v>126</v>
      </c>
      <c r="G7" s="187" t="s">
        <v>157</v>
      </c>
    </row>
    <row r="8" spans="2:8">
      <c r="B8" s="139">
        <v>1</v>
      </c>
      <c r="C8" s="140" t="str">
        <f>'ASSISTENTE 1'!C21</f>
        <v>ASSISTENTE I</v>
      </c>
      <c r="D8" s="141">
        <f>'ASSISTENTE 1'!C16</f>
        <v>1</v>
      </c>
      <c r="E8" s="142">
        <f>'ASSISTENTE 1'!D116</f>
        <v>7720.45</v>
      </c>
      <c r="F8" s="142">
        <f t="shared" ref="F8:F13" si="0">E8*D8</f>
        <v>7720.45</v>
      </c>
      <c r="G8" s="143">
        <f t="shared" ref="G8:G13" si="1">F8*12</f>
        <v>92645.4</v>
      </c>
      <c r="H8" s="138"/>
    </row>
    <row r="9" spans="2:8">
      <c r="B9" s="139">
        <v>2</v>
      </c>
      <c r="C9" s="140" t="str">
        <f>'ASSISTENTE 2'!C21</f>
        <v>ASSISTENTE II</v>
      </c>
      <c r="D9" s="141">
        <f>'ASSISTENTE 2'!C16</f>
        <v>1</v>
      </c>
      <c r="E9" s="142">
        <f>'ASSISTENTE 2'!D116</f>
        <v>9933.4500000000007</v>
      </c>
      <c r="F9" s="142">
        <f t="shared" si="0"/>
        <v>9933.4500000000007</v>
      </c>
      <c r="G9" s="143">
        <f t="shared" si="1"/>
        <v>119201.40000000001</v>
      </c>
      <c r="H9" s="138"/>
    </row>
    <row r="10" spans="2:8">
      <c r="B10" s="139">
        <v>3</v>
      </c>
      <c r="C10" s="140" t="str">
        <f>'ANALISTA 1'!C21</f>
        <v xml:space="preserve">ANALISTA I </v>
      </c>
      <c r="D10" s="141">
        <f>'ANALISTA 1'!C16</f>
        <v>1</v>
      </c>
      <c r="E10" s="142">
        <f>'ANALISTA 1'!D116</f>
        <v>13023.49</v>
      </c>
      <c r="F10" s="142">
        <f t="shared" si="0"/>
        <v>13023.49</v>
      </c>
      <c r="G10" s="143">
        <f t="shared" si="1"/>
        <v>156281.88</v>
      </c>
      <c r="H10" s="138"/>
    </row>
    <row r="11" spans="2:8">
      <c r="B11" s="139">
        <v>4</v>
      </c>
      <c r="C11" s="140" t="str">
        <f>'ANALISTA 2'!C21</f>
        <v>ANALISTA II</v>
      </c>
      <c r="D11" s="141">
        <f>'ANALISTA 2'!C16</f>
        <v>1</v>
      </c>
      <c r="E11" s="142">
        <f>'ANALISTA 2'!D116</f>
        <v>17263.5</v>
      </c>
      <c r="F11" s="142">
        <f t="shared" si="0"/>
        <v>17263.5</v>
      </c>
      <c r="G11" s="143">
        <f t="shared" si="1"/>
        <v>207162</v>
      </c>
      <c r="H11" s="138"/>
    </row>
    <row r="12" spans="2:8">
      <c r="B12" s="139">
        <v>5</v>
      </c>
      <c r="C12" s="140" t="str">
        <f>'ANALISTA 3'!C21</f>
        <v>ANALISTA III</v>
      </c>
      <c r="D12" s="141">
        <f>'ANALISTA 3'!C16</f>
        <v>1</v>
      </c>
      <c r="E12" s="142">
        <f>'ANALISTA 3'!D116</f>
        <v>23778.260000000002</v>
      </c>
      <c r="F12" s="142">
        <f t="shared" si="0"/>
        <v>23778.260000000002</v>
      </c>
      <c r="G12" s="143">
        <f t="shared" si="1"/>
        <v>285339.12</v>
      </c>
      <c r="H12" s="138"/>
    </row>
    <row r="13" spans="2:8" ht="16.2" thickBot="1">
      <c r="B13" s="190">
        <v>6</v>
      </c>
      <c r="C13" s="191" t="str">
        <f>'ANALISTA 4'!C21</f>
        <v>ANALISTA IV</v>
      </c>
      <c r="D13" s="192">
        <f>'ANALISTA 4'!C16</f>
        <v>5</v>
      </c>
      <c r="E13" s="144">
        <f>'ANALISTA 4'!D116</f>
        <v>27245.9</v>
      </c>
      <c r="F13" s="144">
        <f t="shared" si="0"/>
        <v>136229.5</v>
      </c>
      <c r="G13" s="145">
        <f t="shared" si="1"/>
        <v>1634754</v>
      </c>
      <c r="H13" s="138"/>
    </row>
    <row r="14" spans="2:8">
      <c r="C14" s="146"/>
      <c r="D14" s="136">
        <f>SUM(D8:D13)</f>
        <v>10</v>
      </c>
      <c r="E14" s="147">
        <f>SUM(E8:E13)</f>
        <v>98965.049999999988</v>
      </c>
      <c r="F14" s="138">
        <f>SUM(F8:F13)</f>
        <v>207948.65</v>
      </c>
      <c r="G14" s="138">
        <f>SUM(G8:G13)</f>
        <v>2495383.7999999998</v>
      </c>
    </row>
    <row r="15" spans="2:8">
      <c r="C15" s="146"/>
    </row>
    <row r="16" spans="2:8" ht="15" customHeight="1">
      <c r="C16" s="148" t="s">
        <v>154</v>
      </c>
      <c r="D16" s="149">
        <f>F14</f>
        <v>207948.65</v>
      </c>
    </row>
    <row r="17" spans="3:10" ht="15" customHeight="1">
      <c r="C17" s="148" t="s">
        <v>158</v>
      </c>
      <c r="D17" s="150">
        <f>G14</f>
        <v>2495383.7999999998</v>
      </c>
      <c r="F17" s="184">
        <v>98965.06</v>
      </c>
      <c r="I17" s="151"/>
      <c r="J17" s="152"/>
    </row>
    <row r="18" spans="3:10" ht="15" customHeight="1">
      <c r="D18" s="153"/>
      <c r="I18" s="152"/>
      <c r="J18" s="154"/>
    </row>
    <row r="19" spans="3:10">
      <c r="D19" s="155"/>
      <c r="E19" s="138"/>
      <c r="F19" s="156"/>
    </row>
    <row r="20" spans="3:10">
      <c r="D20" s="153"/>
      <c r="F20" s="156"/>
    </row>
    <row r="21" spans="3:10">
      <c r="D21" s="157"/>
    </row>
    <row r="22" spans="3:10">
      <c r="D22" s="158"/>
    </row>
  </sheetData>
  <mergeCells count="3">
    <mergeCell ref="B2:C2"/>
    <mergeCell ref="B3:C3"/>
    <mergeCell ref="B4:C4"/>
  </mergeCells>
  <pageMargins left="0.51181102362204722" right="0.5118110236220472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6297B-BFA1-4272-8776-1DF2DFB2F0B8}">
  <dimension ref="A1:J120"/>
  <sheetViews>
    <sheetView view="pageBreakPreview" topLeftCell="A101" zoomScale="110" zoomScaleNormal="100" zoomScaleSheetLayoutView="110" workbookViewId="0">
      <selection activeCell="H114" sqref="H113:H114"/>
    </sheetView>
  </sheetViews>
  <sheetFormatPr defaultColWidth="9.109375" defaultRowHeight="15.6"/>
  <cols>
    <col min="1" max="1" width="3.88671875" style="3" customWidth="1"/>
    <col min="2" max="2" width="68.33203125" style="3" customWidth="1"/>
    <col min="3" max="4" width="25.88671875" style="3" customWidth="1"/>
    <col min="5" max="5" width="18.6640625" style="3" customWidth="1"/>
    <col min="6" max="6" width="15" style="3" customWidth="1"/>
    <col min="7" max="7" width="12.109375" style="3" bestFit="1" customWidth="1"/>
    <col min="8" max="8" width="9.5546875" style="3" bestFit="1" customWidth="1"/>
    <col min="9" max="16384" width="9.109375" style="3"/>
  </cols>
  <sheetData>
    <row r="1" spans="1:5" customFormat="1" ht="52.35" customHeight="1">
      <c r="A1" s="273" t="s">
        <v>152</v>
      </c>
      <c r="B1" s="274"/>
      <c r="C1" s="274"/>
      <c r="D1" s="274"/>
    </row>
    <row r="2" spans="1:5" customFormat="1" ht="31.5" customHeight="1" thickBot="1">
      <c r="A2" s="275" t="s">
        <v>153</v>
      </c>
      <c r="B2" s="276"/>
      <c r="C2" s="276"/>
      <c r="D2" s="276"/>
    </row>
    <row r="3" spans="1:5" customFormat="1" ht="15" customHeight="1" thickBot="1"/>
    <row r="4" spans="1:5" ht="21" thickBot="1">
      <c r="A4" s="277" t="s">
        <v>163</v>
      </c>
      <c r="B4" s="278"/>
      <c r="C4" s="278"/>
      <c r="D4" s="279"/>
    </row>
    <row r="5" spans="1:5">
      <c r="A5" s="280" t="s">
        <v>3</v>
      </c>
      <c r="B5" s="281"/>
      <c r="C5" s="281"/>
      <c r="D5" s="282"/>
    </row>
    <row r="6" spans="1:5">
      <c r="A6" s="283" t="s">
        <v>160</v>
      </c>
      <c r="B6" s="284"/>
      <c r="C6" s="284"/>
      <c r="D6" s="285"/>
    </row>
    <row r="7" spans="1:5">
      <c r="A7" s="270" t="s">
        <v>161</v>
      </c>
      <c r="B7" s="271"/>
      <c r="C7" s="271"/>
      <c r="D7" s="272"/>
    </row>
    <row r="8" spans="1:5">
      <c r="A8" s="251" t="s">
        <v>164</v>
      </c>
      <c r="B8" s="252"/>
      <c r="C8" s="252"/>
      <c r="D8" s="253"/>
    </row>
    <row r="9" spans="1:5">
      <c r="A9" s="92"/>
      <c r="B9" s="63" t="s">
        <v>151</v>
      </c>
      <c r="C9" s="19"/>
      <c r="D9" s="18"/>
    </row>
    <row r="10" spans="1:5">
      <c r="A10" s="93"/>
      <c r="B10" s="112" t="s">
        <v>4</v>
      </c>
      <c r="C10" s="254" t="s">
        <v>162</v>
      </c>
      <c r="D10" s="255"/>
    </row>
    <row r="11" spans="1:5">
      <c r="A11" s="92"/>
      <c r="B11" s="111" t="s">
        <v>5</v>
      </c>
      <c r="C11" s="254" t="s">
        <v>188</v>
      </c>
      <c r="D11" s="255"/>
    </row>
    <row r="12" spans="1:5">
      <c r="A12" s="93"/>
      <c r="B12" s="112" t="s">
        <v>6</v>
      </c>
      <c r="C12" s="254">
        <v>12</v>
      </c>
      <c r="D12" s="255"/>
    </row>
    <row r="13" spans="1:5">
      <c r="A13" s="9"/>
      <c r="B13" s="10"/>
      <c r="C13" s="10"/>
      <c r="D13" s="11"/>
    </row>
    <row r="14" spans="1:5">
      <c r="A14" s="256" t="s">
        <v>7</v>
      </c>
      <c r="B14" s="257"/>
      <c r="C14" s="257"/>
      <c r="D14" s="258"/>
    </row>
    <row r="15" spans="1:5">
      <c r="A15" s="92"/>
      <c r="B15" s="111" t="s">
        <v>8</v>
      </c>
      <c r="C15" s="259" t="s">
        <v>149</v>
      </c>
      <c r="D15" s="260"/>
      <c r="E15" s="65"/>
    </row>
    <row r="16" spans="1:5">
      <c r="A16" s="92"/>
      <c r="B16" s="111" t="s">
        <v>9</v>
      </c>
      <c r="C16" s="259">
        <v>1</v>
      </c>
      <c r="D16" s="260"/>
    </row>
    <row r="17" spans="1:6">
      <c r="A17" s="261" t="s">
        <v>10</v>
      </c>
      <c r="B17" s="262"/>
      <c r="C17" s="262"/>
      <c r="D17" s="263"/>
    </row>
    <row r="18" spans="1:6">
      <c r="A18" s="12">
        <v>1</v>
      </c>
      <c r="B18" s="111" t="s">
        <v>11</v>
      </c>
      <c r="C18" s="264"/>
      <c r="D18" s="265"/>
    </row>
    <row r="19" spans="1:6">
      <c r="A19" s="14">
        <v>2</v>
      </c>
      <c r="B19" s="112" t="s">
        <v>12</v>
      </c>
      <c r="C19" s="266"/>
      <c r="D19" s="267"/>
    </row>
    <row r="20" spans="1:6">
      <c r="A20" s="12">
        <v>3</v>
      </c>
      <c r="B20" s="111" t="s">
        <v>122</v>
      </c>
      <c r="C20" s="268">
        <v>3040.3</v>
      </c>
      <c r="D20" s="269"/>
      <c r="E20" s="65"/>
    </row>
    <row r="21" spans="1:6">
      <c r="A21" s="14">
        <v>4</v>
      </c>
      <c r="B21" s="112" t="s">
        <v>13</v>
      </c>
      <c r="C21" s="249" t="str">
        <f>A4</f>
        <v>ASSISTENTE I</v>
      </c>
      <c r="D21" s="250"/>
      <c r="E21" s="65"/>
    </row>
    <row r="22" spans="1:6" ht="16.2" thickBot="1">
      <c r="A22" s="38">
        <v>5</v>
      </c>
      <c r="B22" s="39" t="s">
        <v>14</v>
      </c>
      <c r="C22" s="247">
        <v>44986</v>
      </c>
      <c r="D22" s="248"/>
    </row>
    <row r="23" spans="1:6" s="37" customFormat="1" ht="16.2" thickBot="1">
      <c r="B23" s="64"/>
      <c r="C23" s="64"/>
      <c r="F23" s="64"/>
    </row>
    <row r="24" spans="1:6" ht="18">
      <c r="A24" s="224" t="s">
        <v>15</v>
      </c>
      <c r="B24" s="225"/>
      <c r="C24" s="225"/>
      <c r="D24" s="226"/>
      <c r="E24" s="65"/>
    </row>
    <row r="25" spans="1:6">
      <c r="A25" s="12">
        <v>1</v>
      </c>
      <c r="B25" s="111" t="s">
        <v>16</v>
      </c>
      <c r="C25" s="110" t="s">
        <v>148</v>
      </c>
      <c r="D25" s="113" t="s">
        <v>18</v>
      </c>
      <c r="E25" s="65"/>
    </row>
    <row r="26" spans="1:6">
      <c r="A26" s="93" t="s">
        <v>19</v>
      </c>
      <c r="B26" s="126" t="str">
        <f>"Salário Base "&amp;C26&amp;" horas semanais"</f>
        <v>Salário Base 40 horas semanais</v>
      </c>
      <c r="C26" s="122">
        <v>40</v>
      </c>
      <c r="D26" s="72">
        <f>ROUND((C20/40)*C26,2)</f>
        <v>3040.3</v>
      </c>
      <c r="E26" s="65"/>
    </row>
    <row r="27" spans="1:6">
      <c r="A27" s="92" t="s">
        <v>20</v>
      </c>
      <c r="B27" s="111" t="s">
        <v>143</v>
      </c>
      <c r="C27" s="121">
        <v>0</v>
      </c>
      <c r="D27" s="124">
        <f>ROUND(C27*1320,2)</f>
        <v>0</v>
      </c>
      <c r="E27" s="65"/>
    </row>
    <row r="28" spans="1:6">
      <c r="A28" s="93" t="s">
        <v>24</v>
      </c>
      <c r="B28" s="112" t="s">
        <v>21</v>
      </c>
      <c r="C28" s="121">
        <v>0</v>
      </c>
      <c r="D28" s="124">
        <f>ROUND((D26*C28),2)</f>
        <v>0</v>
      </c>
    </row>
    <row r="29" spans="1:6">
      <c r="A29" s="92" t="s">
        <v>25</v>
      </c>
      <c r="B29" s="111" t="s">
        <v>22</v>
      </c>
      <c r="C29" s="121">
        <v>0</v>
      </c>
      <c r="D29" s="5">
        <v>0</v>
      </c>
    </row>
    <row r="30" spans="1:6">
      <c r="A30" s="93" t="s">
        <v>26</v>
      </c>
      <c r="B30" s="112" t="s">
        <v>23</v>
      </c>
      <c r="C30" s="121">
        <v>0</v>
      </c>
      <c r="D30" s="72">
        <v>0</v>
      </c>
    </row>
    <row r="31" spans="1:6">
      <c r="A31" s="92" t="s">
        <v>29</v>
      </c>
      <c r="B31" s="111" t="s">
        <v>27</v>
      </c>
      <c r="C31" s="121">
        <v>0</v>
      </c>
      <c r="D31" s="5">
        <v>0</v>
      </c>
    </row>
    <row r="32" spans="1:6">
      <c r="A32" s="93" t="s">
        <v>30</v>
      </c>
      <c r="B32" s="112" t="s">
        <v>28</v>
      </c>
      <c r="C32" s="121">
        <v>0</v>
      </c>
      <c r="D32" s="124">
        <f>ROUND((C20*C32)/180*15,2)*15</f>
        <v>0</v>
      </c>
    </row>
    <row r="33" spans="1:9" ht="16.2" thickBot="1">
      <c r="A33" s="54" t="s">
        <v>31</v>
      </c>
      <c r="B33" s="58" t="s">
        <v>155</v>
      </c>
      <c r="C33" s="59" t="s">
        <v>156</v>
      </c>
      <c r="D33" s="55"/>
    </row>
    <row r="34" spans="1:9" ht="21" thickBot="1">
      <c r="A34" s="231" t="s">
        <v>110</v>
      </c>
      <c r="B34" s="234"/>
      <c r="C34" s="56"/>
      <c r="D34" s="57">
        <f>ROUND(SUM(D26:D33),2)</f>
        <v>3040.3</v>
      </c>
      <c r="E34" s="120"/>
      <c r="G34" s="65"/>
      <c r="H34" s="65"/>
    </row>
    <row r="35" spans="1:9" s="37" customFormat="1" ht="16.2" thickBot="1">
      <c r="B35" s="64"/>
      <c r="C35" s="64"/>
      <c r="G35" s="64"/>
    </row>
    <row r="36" spans="1:9" ht="18">
      <c r="A36" s="224" t="s">
        <v>33</v>
      </c>
      <c r="B36" s="225"/>
      <c r="C36" s="225"/>
      <c r="D36" s="226"/>
      <c r="G36" s="99"/>
    </row>
    <row r="37" spans="1:9">
      <c r="A37" s="92" t="s">
        <v>34</v>
      </c>
      <c r="B37" s="63" t="s">
        <v>35</v>
      </c>
      <c r="C37" s="111"/>
      <c r="D37" s="27" t="s">
        <v>18</v>
      </c>
      <c r="G37" s="65"/>
    </row>
    <row r="38" spans="1:9">
      <c r="A38" s="93" t="s">
        <v>19</v>
      </c>
      <c r="B38" s="62" t="s">
        <v>58</v>
      </c>
      <c r="C38" s="73">
        <f>ENCARGOS!$C$10</f>
        <v>8.3299999999999999E-2</v>
      </c>
      <c r="D38" s="72">
        <f>ROUND(($D$34*ENCARGOS!$C$10),2)</f>
        <v>253.26</v>
      </c>
      <c r="I38" s="99"/>
    </row>
    <row r="39" spans="1:9" s="37" customFormat="1">
      <c r="A39" s="70" t="s">
        <v>20</v>
      </c>
      <c r="B39" s="66" t="s">
        <v>59</v>
      </c>
      <c r="C39" s="67">
        <f>ENCARGOS!C11</f>
        <v>2.7799999999999998E-2</v>
      </c>
      <c r="D39" s="46">
        <f>ROUND(($D$34*ENCARGOS!$C11),2)</f>
        <v>84.52</v>
      </c>
    </row>
    <row r="40" spans="1:9" ht="21" thickBot="1">
      <c r="A40" s="242" t="s">
        <v>115</v>
      </c>
      <c r="B40" s="244"/>
      <c r="C40" s="61">
        <f>SUM(C38:C39)</f>
        <v>0.1111</v>
      </c>
      <c r="D40" s="29">
        <f>ROUND(SUM(D38:D39),2)</f>
        <v>337.78</v>
      </c>
    </row>
    <row r="41" spans="1:9" ht="31.2">
      <c r="A41" s="30" t="s">
        <v>60</v>
      </c>
      <c r="B41" s="31" t="s">
        <v>120</v>
      </c>
      <c r="C41" s="32" t="s">
        <v>17</v>
      </c>
      <c r="D41" s="33" t="s">
        <v>18</v>
      </c>
      <c r="E41" s="98"/>
    </row>
    <row r="42" spans="1:9">
      <c r="A42" s="93" t="s">
        <v>19</v>
      </c>
      <c r="B42" s="112" t="s">
        <v>2</v>
      </c>
      <c r="C42" s="73">
        <f>ENCARGOS!$C$14</f>
        <v>0.2</v>
      </c>
      <c r="D42" s="72">
        <f>($D$34+$D$40)*C42</f>
        <v>675.61599999999999</v>
      </c>
      <c r="E42" s="65"/>
      <c r="F42" s="98"/>
    </row>
    <row r="43" spans="1:9" s="37" customFormat="1">
      <c r="A43" s="70" t="s">
        <v>20</v>
      </c>
      <c r="B43" s="71" t="s">
        <v>61</v>
      </c>
      <c r="C43" s="67">
        <f>ENCARGOS!$C$15</f>
        <v>2.5000000000000001E-2</v>
      </c>
      <c r="D43" s="46">
        <f t="shared" ref="D43:D49" si="0">($D$34+$D$40)*C43</f>
        <v>84.451999999999998</v>
      </c>
      <c r="E43" s="65"/>
    </row>
    <row r="44" spans="1:9">
      <c r="A44" s="93" t="s">
        <v>24</v>
      </c>
      <c r="B44" s="112" t="s">
        <v>62</v>
      </c>
      <c r="C44" s="73">
        <f>ENCARGOS!$C$16</f>
        <v>0.02</v>
      </c>
      <c r="D44" s="72">
        <f t="shared" si="0"/>
        <v>67.561599999999999</v>
      </c>
      <c r="E44" s="65"/>
    </row>
    <row r="45" spans="1:9" s="37" customFormat="1">
      <c r="A45" s="70" t="s">
        <v>25</v>
      </c>
      <c r="B45" s="71" t="s">
        <v>63</v>
      </c>
      <c r="C45" s="67">
        <f>ENCARGOS!$C$17</f>
        <v>1.4999999999999999E-2</v>
      </c>
      <c r="D45" s="46">
        <f t="shared" si="0"/>
        <v>50.671199999999999</v>
      </c>
      <c r="E45" s="65"/>
    </row>
    <row r="46" spans="1:9">
      <c r="A46" s="93" t="s">
        <v>26</v>
      </c>
      <c r="B46" s="112" t="s">
        <v>64</v>
      </c>
      <c r="C46" s="73">
        <f>ENCARGOS!$C$18</f>
        <v>0.01</v>
      </c>
      <c r="D46" s="72">
        <f t="shared" si="0"/>
        <v>33.780799999999999</v>
      </c>
      <c r="E46" s="65"/>
    </row>
    <row r="47" spans="1:9" s="37" customFormat="1">
      <c r="A47" s="70" t="s">
        <v>29</v>
      </c>
      <c r="B47" s="71" t="s">
        <v>65</v>
      </c>
      <c r="C47" s="67">
        <f>ENCARGOS!$C$19</f>
        <v>6.0000000000000001E-3</v>
      </c>
      <c r="D47" s="46">
        <f t="shared" si="0"/>
        <v>20.26848</v>
      </c>
      <c r="E47" s="65"/>
    </row>
    <row r="48" spans="1:9">
      <c r="A48" s="93" t="s">
        <v>30</v>
      </c>
      <c r="B48" s="112" t="s">
        <v>66</v>
      </c>
      <c r="C48" s="73">
        <f>ENCARGOS!$C$20</f>
        <v>2E-3</v>
      </c>
      <c r="D48" s="72">
        <f t="shared" si="0"/>
        <v>6.7561600000000004</v>
      </c>
      <c r="E48" s="65"/>
    </row>
    <row r="49" spans="1:7" s="37" customFormat="1">
      <c r="A49" s="70" t="s">
        <v>31</v>
      </c>
      <c r="B49" s="71" t="s">
        <v>1</v>
      </c>
      <c r="C49" s="67">
        <f>ENCARGOS!$C$21</f>
        <v>0.08</v>
      </c>
      <c r="D49" s="46">
        <f t="shared" si="0"/>
        <v>270.24639999999999</v>
      </c>
      <c r="E49" s="65"/>
    </row>
    <row r="50" spans="1:7" ht="21" thickBot="1">
      <c r="A50" s="242" t="s">
        <v>115</v>
      </c>
      <c r="B50" s="243"/>
      <c r="C50" s="61">
        <f>SUM(C42:C49)</f>
        <v>0.35800000000000004</v>
      </c>
      <c r="D50" s="29">
        <f>SUM(D42:D49)</f>
        <v>1209.3526400000001</v>
      </c>
      <c r="E50" s="65"/>
      <c r="F50" s="65"/>
      <c r="G50" s="97"/>
    </row>
    <row r="51" spans="1:7">
      <c r="A51" s="30" t="s">
        <v>54</v>
      </c>
      <c r="B51" s="34" t="s">
        <v>55</v>
      </c>
      <c r="C51" s="32" t="s">
        <v>17</v>
      </c>
      <c r="D51" s="33" t="s">
        <v>18</v>
      </c>
    </row>
    <row r="52" spans="1:7">
      <c r="A52" s="93" t="s">
        <v>19</v>
      </c>
      <c r="B52" s="127" t="s">
        <v>67</v>
      </c>
      <c r="C52" s="123">
        <v>-0.06</v>
      </c>
      <c r="D52" s="124">
        <f>ROUND((6*2*22)-((-1*C52)*D26),2)</f>
        <v>81.58</v>
      </c>
      <c r="F52" s="65"/>
    </row>
    <row r="53" spans="1:7">
      <c r="A53" s="92" t="s">
        <v>20</v>
      </c>
      <c r="B53" s="127" t="s">
        <v>144</v>
      </c>
      <c r="C53" s="125">
        <v>0</v>
      </c>
      <c r="D53" s="124">
        <f>ROUND((756*1)*(100%+C53),2)</f>
        <v>756</v>
      </c>
      <c r="F53" s="65"/>
    </row>
    <row r="54" spans="1:7">
      <c r="A54" s="92" t="s">
        <v>24</v>
      </c>
      <c r="B54" s="66" t="s">
        <v>180</v>
      </c>
      <c r="C54" s="193"/>
      <c r="D54" s="46">
        <v>371</v>
      </c>
      <c r="E54" s="65"/>
      <c r="F54" s="97"/>
    </row>
    <row r="55" spans="1:7">
      <c r="A55" s="92" t="s">
        <v>25</v>
      </c>
      <c r="B55" s="63" t="s">
        <v>185</v>
      </c>
      <c r="C55" s="6"/>
      <c r="D55" s="5">
        <v>75.5</v>
      </c>
      <c r="E55" s="65"/>
      <c r="F55" s="65"/>
    </row>
    <row r="56" spans="1:7">
      <c r="A56" s="130" t="s">
        <v>26</v>
      </c>
      <c r="B56" s="63" t="s">
        <v>186</v>
      </c>
      <c r="C56" s="6"/>
      <c r="D56" s="131">
        <v>25</v>
      </c>
      <c r="E56" s="65"/>
      <c r="F56" s="65"/>
    </row>
    <row r="57" spans="1:7">
      <c r="A57" s="92" t="s">
        <v>29</v>
      </c>
      <c r="B57" s="63"/>
      <c r="C57" s="6"/>
      <c r="D57" s="5"/>
      <c r="E57" s="65"/>
      <c r="F57" s="65"/>
    </row>
    <row r="58" spans="1:7" ht="21" thickBot="1">
      <c r="A58" s="242" t="s">
        <v>115</v>
      </c>
      <c r="B58" s="244"/>
      <c r="C58" s="28"/>
      <c r="D58" s="29">
        <f>SUM(D52:D57)</f>
        <v>1309.08</v>
      </c>
    </row>
    <row r="59" spans="1:7" ht="15.75" customHeight="1">
      <c r="A59" s="35">
        <v>2</v>
      </c>
      <c r="B59" s="245" t="s">
        <v>68</v>
      </c>
      <c r="C59" s="246"/>
      <c r="D59" s="36" t="s">
        <v>18</v>
      </c>
    </row>
    <row r="60" spans="1:7">
      <c r="A60" s="15" t="s">
        <v>34</v>
      </c>
      <c r="B60" s="20" t="s">
        <v>35</v>
      </c>
      <c r="C60" s="22"/>
      <c r="D60" s="16">
        <f>D40</f>
        <v>337.78</v>
      </c>
    </row>
    <row r="61" spans="1:7">
      <c r="A61" s="7" t="s">
        <v>60</v>
      </c>
      <c r="B61" s="21" t="s">
        <v>69</v>
      </c>
      <c r="C61" s="23"/>
      <c r="D61" s="8">
        <f>D50</f>
        <v>1209.3526400000001</v>
      </c>
    </row>
    <row r="62" spans="1:7" ht="16.2" thickBot="1">
      <c r="A62" s="50" t="s">
        <v>54</v>
      </c>
      <c r="B62" s="51" t="s">
        <v>55</v>
      </c>
      <c r="C62" s="52"/>
      <c r="D62" s="53">
        <f>D58</f>
        <v>1309.08</v>
      </c>
    </row>
    <row r="63" spans="1:7" ht="21" thickBot="1">
      <c r="A63" s="231" t="s">
        <v>111</v>
      </c>
      <c r="B63" s="232"/>
      <c r="C63" s="49"/>
      <c r="D63" s="57">
        <f>SUM(D60:D62)</f>
        <v>2856.2126399999997</v>
      </c>
    </row>
    <row r="64" spans="1:7" s="37" customFormat="1" ht="16.2" thickBot="1"/>
    <row r="65" spans="1:5" ht="18">
      <c r="A65" s="240" t="s">
        <v>70</v>
      </c>
      <c r="B65" s="241"/>
      <c r="C65" s="241"/>
      <c r="D65" s="40"/>
    </row>
    <row r="66" spans="1:5">
      <c r="A66" s="12">
        <v>3</v>
      </c>
      <c r="B66" s="63" t="s">
        <v>71</v>
      </c>
      <c r="C66" s="45" t="s">
        <v>17</v>
      </c>
      <c r="D66" s="27" t="s">
        <v>18</v>
      </c>
    </row>
    <row r="67" spans="1:5">
      <c r="A67" s="93" t="s">
        <v>19</v>
      </c>
      <c r="B67" s="62" t="s">
        <v>72</v>
      </c>
      <c r="C67" s="73">
        <f>ENCARGOS!C24</f>
        <v>4.1999999999999997E-3</v>
      </c>
      <c r="D67" s="72">
        <f>C67*$D$34</f>
        <v>12.769259999999999</v>
      </c>
    </row>
    <row r="68" spans="1:5">
      <c r="A68" s="92" t="s">
        <v>20</v>
      </c>
      <c r="B68" s="66" t="s">
        <v>73</v>
      </c>
      <c r="C68" s="67">
        <f>ENCARGOS!C25</f>
        <v>2.9999999999999997E-4</v>
      </c>
      <c r="D68" s="5">
        <f t="shared" ref="D68:D72" si="1">C68*$D$34</f>
        <v>0.91208999999999996</v>
      </c>
    </row>
    <row r="69" spans="1:5">
      <c r="A69" s="93" t="s">
        <v>24</v>
      </c>
      <c r="B69" s="62" t="s">
        <v>146</v>
      </c>
      <c r="C69" s="73">
        <f>ENCARGOS!C26</f>
        <v>3.44E-2</v>
      </c>
      <c r="D69" s="72">
        <f t="shared" si="1"/>
        <v>104.58632</v>
      </c>
    </row>
    <row r="70" spans="1:5">
      <c r="A70" s="92" t="s">
        <v>25</v>
      </c>
      <c r="B70" s="66" t="s">
        <v>74</v>
      </c>
      <c r="C70" s="67">
        <f>ENCARGOS!C27</f>
        <v>1.9400000000000001E-2</v>
      </c>
      <c r="D70" s="5">
        <f t="shared" si="1"/>
        <v>58.981820000000006</v>
      </c>
    </row>
    <row r="71" spans="1:5">
      <c r="A71" s="93" t="s">
        <v>26</v>
      </c>
      <c r="B71" s="62" t="s">
        <v>75</v>
      </c>
      <c r="C71" s="73">
        <f>ENCARGOS!C28</f>
        <v>7.1999999999999998E-3</v>
      </c>
      <c r="D71" s="72">
        <f t="shared" si="1"/>
        <v>21.890160000000002</v>
      </c>
    </row>
    <row r="72" spans="1:5" ht="16.2" thickBot="1">
      <c r="A72" s="54" t="s">
        <v>29</v>
      </c>
      <c r="B72" s="68" t="s">
        <v>147</v>
      </c>
      <c r="C72" s="69">
        <f>ENCARGOS!C29</f>
        <v>5.9999999999999995E-4</v>
      </c>
      <c r="D72" s="5">
        <f t="shared" si="1"/>
        <v>1.8241799999999999</v>
      </c>
    </row>
    <row r="73" spans="1:5" ht="21" thickBot="1">
      <c r="A73" s="231" t="s">
        <v>112</v>
      </c>
      <c r="B73" s="232"/>
      <c r="C73" s="60">
        <f>SUM(C67:C72)</f>
        <v>6.6100000000000006E-2</v>
      </c>
      <c r="D73" s="57">
        <f>ROUND(SUM(D67:D72),2)</f>
        <v>200.96</v>
      </c>
    </row>
    <row r="74" spans="1:5" s="37" customFormat="1" ht="27.75" customHeight="1" thickBot="1">
      <c r="D74" s="64"/>
    </row>
    <row r="75" spans="1:5" ht="18">
      <c r="A75" s="240" t="s">
        <v>76</v>
      </c>
      <c r="B75" s="241"/>
      <c r="C75" s="241"/>
      <c r="D75" s="40"/>
    </row>
    <row r="76" spans="1:5">
      <c r="A76" s="92" t="s">
        <v>77</v>
      </c>
      <c r="B76" s="63" t="s">
        <v>78</v>
      </c>
      <c r="C76" s="26" t="s">
        <v>17</v>
      </c>
      <c r="D76" s="27" t="s">
        <v>18</v>
      </c>
    </row>
    <row r="77" spans="1:5">
      <c r="A77" s="93" t="s">
        <v>19</v>
      </c>
      <c r="B77" s="62" t="s">
        <v>79</v>
      </c>
      <c r="C77" s="73">
        <f>ENCARGOS!$C33</f>
        <v>8.3299999999999999E-2</v>
      </c>
      <c r="D77" s="72">
        <f t="shared" ref="D77:D82" si="2">ROUND(($D$34*C77),2)</f>
        <v>253.26</v>
      </c>
      <c r="E77" s="120"/>
    </row>
    <row r="78" spans="1:5">
      <c r="A78" s="70" t="s">
        <v>20</v>
      </c>
      <c r="B78" s="66" t="s">
        <v>135</v>
      </c>
      <c r="C78" s="67">
        <f>ENCARGOS!$C34</f>
        <v>1.66E-2</v>
      </c>
      <c r="D78" s="46">
        <f t="shared" si="2"/>
        <v>50.47</v>
      </c>
      <c r="E78" s="120"/>
    </row>
    <row r="79" spans="1:5" s="37" customFormat="1">
      <c r="A79" s="93" t="s">
        <v>24</v>
      </c>
      <c r="B79" s="62" t="s">
        <v>80</v>
      </c>
      <c r="C79" s="73">
        <f>ENCARGOS!$C35</f>
        <v>4.0000000000000002E-4</v>
      </c>
      <c r="D79" s="72">
        <f t="shared" si="2"/>
        <v>1.22</v>
      </c>
      <c r="E79" s="120"/>
    </row>
    <row r="80" spans="1:5">
      <c r="A80" s="70" t="s">
        <v>25</v>
      </c>
      <c r="B80" s="66" t="s">
        <v>81</v>
      </c>
      <c r="C80" s="67">
        <f>ENCARGOS!$C36</f>
        <v>1.5E-3</v>
      </c>
      <c r="D80" s="46">
        <f t="shared" si="2"/>
        <v>4.5599999999999996</v>
      </c>
      <c r="E80" s="120"/>
    </row>
    <row r="81" spans="1:5" s="37" customFormat="1">
      <c r="A81" s="94" t="s">
        <v>26</v>
      </c>
      <c r="B81" s="95" t="s">
        <v>78</v>
      </c>
      <c r="C81" s="73">
        <f>ENCARGOS!$C37</f>
        <v>2.8E-3</v>
      </c>
      <c r="D81" s="72">
        <f t="shared" si="2"/>
        <v>8.51</v>
      </c>
      <c r="E81" s="120"/>
    </row>
    <row r="82" spans="1:5">
      <c r="A82" s="70" t="s">
        <v>29</v>
      </c>
      <c r="B82" s="66" t="s">
        <v>136</v>
      </c>
      <c r="C82" s="67">
        <f>ENCARGOS!$C38</f>
        <v>2E-3</v>
      </c>
      <c r="D82" s="46">
        <f t="shared" si="2"/>
        <v>6.08</v>
      </c>
      <c r="E82" s="120"/>
    </row>
    <row r="83" spans="1:5" ht="21" thickBot="1">
      <c r="A83" s="238" t="s">
        <v>115</v>
      </c>
      <c r="B83" s="239"/>
      <c r="C83" s="102">
        <f>SUM(C77:C82)</f>
        <v>0.1066</v>
      </c>
      <c r="D83" s="103">
        <f>ROUND(SUM(D77:D82),2)</f>
        <v>324.10000000000002</v>
      </c>
    </row>
    <row r="84" spans="1:5">
      <c r="A84" s="92"/>
      <c r="B84" s="63"/>
      <c r="C84" s="44"/>
      <c r="D84" s="4"/>
    </row>
    <row r="85" spans="1:5">
      <c r="A85" s="14">
        <v>4</v>
      </c>
      <c r="B85" s="24" t="s">
        <v>84</v>
      </c>
      <c r="C85" s="25"/>
      <c r="D85" s="17" t="s">
        <v>18</v>
      </c>
    </row>
    <row r="86" spans="1:5">
      <c r="A86" s="92" t="s">
        <v>77</v>
      </c>
      <c r="B86" s="63" t="s">
        <v>85</v>
      </c>
      <c r="C86" s="44"/>
      <c r="D86" s="5">
        <f>D83</f>
        <v>324.10000000000002</v>
      </c>
    </row>
    <row r="87" spans="1:5" ht="16.2" thickBot="1">
      <c r="A87" s="94" t="s">
        <v>82</v>
      </c>
      <c r="B87" s="95" t="s">
        <v>83</v>
      </c>
      <c r="C87" s="47"/>
      <c r="D87" s="48">
        <f>D32</f>
        <v>0</v>
      </c>
    </row>
    <row r="88" spans="1:5" ht="21" thickBot="1">
      <c r="A88" s="231" t="s">
        <v>114</v>
      </c>
      <c r="B88" s="232"/>
      <c r="C88" s="234"/>
      <c r="D88" s="57">
        <f>ROUND(SUM(D86:D87),2)</f>
        <v>324.10000000000002</v>
      </c>
    </row>
    <row r="89" spans="1:5" s="37" customFormat="1" ht="27.75" customHeight="1" thickBot="1">
      <c r="B89" s="43"/>
    </row>
    <row r="90" spans="1:5" ht="18">
      <c r="A90" s="227" t="s">
        <v>86</v>
      </c>
      <c r="B90" s="228"/>
      <c r="C90" s="228"/>
      <c r="D90" s="41"/>
    </row>
    <row r="91" spans="1:5">
      <c r="A91" s="12">
        <v>3</v>
      </c>
      <c r="B91" s="63" t="s">
        <v>87</v>
      </c>
      <c r="C91" s="44"/>
      <c r="D91" s="27" t="s">
        <v>18</v>
      </c>
    </row>
    <row r="92" spans="1:5" ht="16.2" thickBot="1">
      <c r="A92" s="128" t="s">
        <v>19</v>
      </c>
      <c r="B92" s="233" t="s">
        <v>181</v>
      </c>
      <c r="C92" s="233"/>
      <c r="D92" s="129">
        <f>15/12</f>
        <v>1.25</v>
      </c>
      <c r="E92" s="65"/>
    </row>
    <row r="93" spans="1:5" ht="21" thickBot="1">
      <c r="A93" s="231" t="s">
        <v>115</v>
      </c>
      <c r="B93" s="232"/>
      <c r="C93" s="234"/>
      <c r="D93" s="57">
        <f>ROUND(SUM(D92:D92),2)</f>
        <v>1.25</v>
      </c>
    </row>
    <row r="94" spans="1:5" ht="18">
      <c r="A94" s="227" t="s">
        <v>88</v>
      </c>
      <c r="B94" s="228"/>
      <c r="C94" s="228"/>
      <c r="D94" s="42"/>
      <c r="E94" s="65"/>
    </row>
    <row r="95" spans="1:5">
      <c r="A95" s="12">
        <v>5</v>
      </c>
      <c r="B95" s="111" t="s">
        <v>89</v>
      </c>
      <c r="C95" s="26" t="s">
        <v>17</v>
      </c>
      <c r="D95" s="27" t="s">
        <v>18</v>
      </c>
    </row>
    <row r="96" spans="1:5">
      <c r="A96" s="93" t="s">
        <v>19</v>
      </c>
      <c r="B96" s="112" t="s">
        <v>90</v>
      </c>
      <c r="C96" s="123">
        <v>0.06</v>
      </c>
      <c r="D96" s="16">
        <f>ROUND((D114)*(C96),2)</f>
        <v>385.37</v>
      </c>
      <c r="E96" s="65"/>
    </row>
    <row r="97" spans="1:10">
      <c r="A97" s="92" t="s">
        <v>20</v>
      </c>
      <c r="B97" s="111" t="s">
        <v>91</v>
      </c>
      <c r="C97" s="123">
        <v>6.9641604490608522E-2</v>
      </c>
      <c r="D97" s="5">
        <f>ROUND((D96+D114)*(C97),2)</f>
        <v>474.13</v>
      </c>
      <c r="E97" s="65"/>
    </row>
    <row r="98" spans="1:10">
      <c r="A98" s="93" t="s">
        <v>24</v>
      </c>
      <c r="B98" s="112" t="s">
        <v>92</v>
      </c>
      <c r="C98" s="73"/>
      <c r="D98" s="72"/>
      <c r="E98" s="65"/>
    </row>
    <row r="99" spans="1:10">
      <c r="A99" s="92"/>
      <c r="B99" s="111" t="s">
        <v>93</v>
      </c>
      <c r="C99" s="6"/>
      <c r="D99" s="5"/>
      <c r="E99" s="65"/>
    </row>
    <row r="100" spans="1:10">
      <c r="A100" s="93"/>
      <c r="B100" s="112" t="s">
        <v>94</v>
      </c>
      <c r="C100" s="182">
        <f>'Calculo SPED'!F16</f>
        <v>1.7202073069227553E-3</v>
      </c>
      <c r="D100" s="72">
        <f>ROUND((D114+D96+D97)*C100,2)</f>
        <v>12.53</v>
      </c>
    </row>
    <row r="101" spans="1:10">
      <c r="A101" s="92"/>
      <c r="B101" s="111" t="s">
        <v>95</v>
      </c>
      <c r="C101" s="183">
        <f>'Calculo SPED'!I16</f>
        <v>7.9584113825690948E-3</v>
      </c>
      <c r="D101" s="5">
        <f>ROUND((D114+D96+D97)*C101,2)</f>
        <v>57.96</v>
      </c>
    </row>
    <row r="102" spans="1:10">
      <c r="A102" s="93"/>
      <c r="B102" s="112" t="s">
        <v>96</v>
      </c>
      <c r="C102" s="73"/>
      <c r="D102" s="72"/>
    </row>
    <row r="103" spans="1:10">
      <c r="A103" s="92"/>
      <c r="B103" s="111" t="s">
        <v>97</v>
      </c>
      <c r="C103" s="6"/>
      <c r="D103" s="5"/>
      <c r="E103" s="65"/>
    </row>
    <row r="104" spans="1:10">
      <c r="A104" s="93"/>
      <c r="B104" s="112" t="s">
        <v>116</v>
      </c>
      <c r="C104" s="73">
        <v>0.05</v>
      </c>
      <c r="D104" s="72">
        <f>IF(C10="CURITIBA/PR",(D92+D96+D97+D100+D101)*C104,(D114+D96+D97+D100+D101+D102+D103)*C104)</f>
        <v>367.64049999999997</v>
      </c>
      <c r="E104" s="235" t="s">
        <v>129</v>
      </c>
      <c r="F104" s="235"/>
      <c r="G104" s="235"/>
      <c r="H104" s="235"/>
      <c r="I104" s="235"/>
      <c r="J104" s="235"/>
    </row>
    <row r="105" spans="1:10" ht="33" customHeight="1" thickBot="1">
      <c r="A105" s="236" t="s">
        <v>113</v>
      </c>
      <c r="B105" s="237"/>
      <c r="C105" s="61">
        <f>SUM(C96:C104)</f>
        <v>0.18932022318010039</v>
      </c>
      <c r="D105" s="29">
        <f>ROUND(SUM(D96:D104),2)</f>
        <v>1297.6300000000001</v>
      </c>
      <c r="E105" s="235"/>
      <c r="F105" s="235"/>
      <c r="G105" s="235"/>
      <c r="H105" s="235"/>
      <c r="I105" s="235"/>
      <c r="J105" s="235"/>
    </row>
    <row r="106" spans="1:10" s="37" customFormat="1" ht="27.75" customHeight="1" thickBot="1"/>
    <row r="107" spans="1:10" ht="18">
      <c r="A107" s="224" t="s">
        <v>98</v>
      </c>
      <c r="B107" s="225"/>
      <c r="C107" s="225"/>
      <c r="D107" s="226"/>
    </row>
    <row r="108" spans="1:10">
      <c r="A108" s="92"/>
      <c r="B108" s="219" t="s">
        <v>99</v>
      </c>
      <c r="C108" s="219"/>
      <c r="D108" s="113" t="s">
        <v>18</v>
      </c>
    </row>
    <row r="109" spans="1:10">
      <c r="A109" s="93" t="s">
        <v>19</v>
      </c>
      <c r="B109" s="220" t="s">
        <v>100</v>
      </c>
      <c r="C109" s="220"/>
      <c r="D109" s="72">
        <f>D34</f>
        <v>3040.3</v>
      </c>
    </row>
    <row r="110" spans="1:10">
      <c r="A110" s="92" t="s">
        <v>20</v>
      </c>
      <c r="B110" s="219" t="s">
        <v>101</v>
      </c>
      <c r="C110" s="219"/>
      <c r="D110" s="5">
        <f>D63</f>
        <v>2856.2126399999997</v>
      </c>
    </row>
    <row r="111" spans="1:10">
      <c r="A111" s="93" t="s">
        <v>24</v>
      </c>
      <c r="B111" s="220" t="s">
        <v>102</v>
      </c>
      <c r="C111" s="220"/>
      <c r="D111" s="72">
        <f>D73</f>
        <v>200.96</v>
      </c>
    </row>
    <row r="112" spans="1:10">
      <c r="A112" s="92" t="s">
        <v>25</v>
      </c>
      <c r="B112" s="221" t="s">
        <v>103</v>
      </c>
      <c r="C112" s="221"/>
      <c r="D112" s="5">
        <f>D88</f>
        <v>324.10000000000002</v>
      </c>
    </row>
    <row r="113" spans="1:7">
      <c r="A113" s="93" t="s">
        <v>26</v>
      </c>
      <c r="B113" s="222" t="s">
        <v>104</v>
      </c>
      <c r="C113" s="222"/>
      <c r="D113" s="72">
        <f>D93</f>
        <v>1.25</v>
      </c>
    </row>
    <row r="114" spans="1:7">
      <c r="A114" s="92"/>
      <c r="B114" s="223" t="s">
        <v>105</v>
      </c>
      <c r="C114" s="223"/>
      <c r="D114" s="5">
        <f>ROUND(SUM(D109:D113),2)</f>
        <v>6422.82</v>
      </c>
      <c r="G114" s="188"/>
    </row>
    <row r="115" spans="1:7">
      <c r="A115" s="93" t="s">
        <v>29</v>
      </c>
      <c r="B115" s="222" t="s">
        <v>106</v>
      </c>
      <c r="C115" s="222"/>
      <c r="D115" s="72">
        <f>D105</f>
        <v>1297.6300000000001</v>
      </c>
    </row>
    <row r="116" spans="1:7" ht="20.399999999999999">
      <c r="A116" s="229" t="s">
        <v>117</v>
      </c>
      <c r="B116" s="230"/>
      <c r="C116" s="230"/>
      <c r="D116" s="13">
        <f>D114+D115</f>
        <v>7720.45</v>
      </c>
      <c r="E116" s="65">
        <v>8894.6200000000008</v>
      </c>
      <c r="G116" s="65"/>
    </row>
    <row r="117" spans="1:7" ht="20.399999999999999">
      <c r="A117" s="212" t="s">
        <v>118</v>
      </c>
      <c r="B117" s="213"/>
      <c r="C117" s="213"/>
      <c r="D117" s="13">
        <f>D116*C16</f>
        <v>7720.45</v>
      </c>
      <c r="E117" s="189">
        <v>0.13200899999999999</v>
      </c>
      <c r="F117" s="3" t="s">
        <v>183</v>
      </c>
    </row>
    <row r="118" spans="1:7" ht="20.399999999999999">
      <c r="A118" s="214" t="s">
        <v>119</v>
      </c>
      <c r="B118" s="215"/>
      <c r="C118" s="215"/>
      <c r="D118" s="100">
        <f>D117*C12</f>
        <v>92645.4</v>
      </c>
      <c r="E118" s="65">
        <f>E116*E117</f>
        <v>1174.16989158</v>
      </c>
    </row>
    <row r="119" spans="1:7" ht="18.600000000000001" thickBot="1">
      <c r="A119" s="216">
        <f>D1</f>
        <v>0</v>
      </c>
      <c r="B119" s="217"/>
      <c r="C119" s="217"/>
      <c r="D119" s="218"/>
      <c r="E119" s="65">
        <f>E116-E118</f>
        <v>7720.450108420001</v>
      </c>
      <c r="F119" s="3" t="s">
        <v>184</v>
      </c>
    </row>
    <row r="120" spans="1:7" ht="15" customHeight="1">
      <c r="B120" s="65"/>
      <c r="D120" s="65"/>
    </row>
  </sheetData>
  <mergeCells count="51">
    <mergeCell ref="A7:D7"/>
    <mergeCell ref="A1:D1"/>
    <mergeCell ref="A2:D2"/>
    <mergeCell ref="A4:D4"/>
    <mergeCell ref="A5:D5"/>
    <mergeCell ref="A6:D6"/>
    <mergeCell ref="C21:D21"/>
    <mergeCell ref="A8:D8"/>
    <mergeCell ref="C10:D10"/>
    <mergeCell ref="C11:D11"/>
    <mergeCell ref="C12:D12"/>
    <mergeCell ref="A14:D14"/>
    <mergeCell ref="C15:D15"/>
    <mergeCell ref="C16:D16"/>
    <mergeCell ref="A17:D17"/>
    <mergeCell ref="C18:D18"/>
    <mergeCell ref="C19:D19"/>
    <mergeCell ref="C20:D20"/>
    <mergeCell ref="C22:D22"/>
    <mergeCell ref="A24:D24"/>
    <mergeCell ref="A34:B34"/>
    <mergeCell ref="A36:D36"/>
    <mergeCell ref="A40:B40"/>
    <mergeCell ref="A50:B50"/>
    <mergeCell ref="A58:B58"/>
    <mergeCell ref="B59:C59"/>
    <mergeCell ref="A63:B63"/>
    <mergeCell ref="A65:C65"/>
    <mergeCell ref="A73:B73"/>
    <mergeCell ref="B92:C92"/>
    <mergeCell ref="A93:C93"/>
    <mergeCell ref="E104:J105"/>
    <mergeCell ref="A105:B105"/>
    <mergeCell ref="A83:B83"/>
    <mergeCell ref="A88:C88"/>
    <mergeCell ref="A90:C90"/>
    <mergeCell ref="A75:C75"/>
    <mergeCell ref="A107:D107"/>
    <mergeCell ref="A94:C94"/>
    <mergeCell ref="B108:C108"/>
    <mergeCell ref="A116:C116"/>
    <mergeCell ref="B109:C109"/>
    <mergeCell ref="A117:C117"/>
    <mergeCell ref="A118:C118"/>
    <mergeCell ref="A119:D119"/>
    <mergeCell ref="B110:C110"/>
    <mergeCell ref="B111:C111"/>
    <mergeCell ref="B112:C112"/>
    <mergeCell ref="B113:C113"/>
    <mergeCell ref="B114:C114"/>
    <mergeCell ref="B115:C115"/>
  </mergeCells>
  <conditionalFormatting sqref="E104:J105">
    <cfRule type="expression" dxfId="5" priority="1">
      <formula>$C$10="CURITIBA/PR"</formula>
    </cfRule>
  </conditionalFormatting>
  <pageMargins left="0.511811024" right="0.511811024" top="0.78740157499999996" bottom="0.78740157499999996" header="0.31496062000000002" footer="0.31496062000000002"/>
  <pageSetup paperSize="9" scale="57" orientation="portrait" r:id="rId1"/>
  <rowBreaks count="2" manualBreakCount="2">
    <brk id="58" max="3" man="1"/>
    <brk id="119"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3A535-A8A1-4873-B5BC-2AEFBB4E4F72}">
  <dimension ref="A1:J120"/>
  <sheetViews>
    <sheetView view="pageBreakPreview" topLeftCell="A51" zoomScaleNormal="100" zoomScaleSheetLayoutView="100" workbookViewId="0">
      <selection activeCell="G114" sqref="G114"/>
    </sheetView>
  </sheetViews>
  <sheetFormatPr defaultColWidth="9.109375" defaultRowHeight="15.6"/>
  <cols>
    <col min="1" max="1" width="3.88671875" style="3" customWidth="1"/>
    <col min="2" max="2" width="68.33203125" style="3" customWidth="1"/>
    <col min="3" max="4" width="22.109375" style="3" customWidth="1"/>
    <col min="5" max="5" width="18.6640625" style="3" customWidth="1"/>
    <col min="6" max="6" width="15" style="3" customWidth="1"/>
    <col min="7" max="7" width="12.109375" style="3" bestFit="1" customWidth="1"/>
    <col min="8" max="8" width="9.5546875" style="3" bestFit="1" customWidth="1"/>
    <col min="9" max="16384" width="9.109375" style="3"/>
  </cols>
  <sheetData>
    <row r="1" spans="1:5" customFormat="1" ht="52.35" customHeight="1">
      <c r="A1" s="273" t="s">
        <v>152</v>
      </c>
      <c r="B1" s="274"/>
      <c r="C1" s="274"/>
      <c r="D1" s="274"/>
    </row>
    <row r="2" spans="1:5" customFormat="1" ht="31.5" customHeight="1" thickBot="1">
      <c r="A2" s="275" t="s">
        <v>153</v>
      </c>
      <c r="B2" s="276"/>
      <c r="C2" s="276"/>
      <c r="D2" s="276"/>
    </row>
    <row r="3" spans="1:5" customFormat="1" ht="15" customHeight="1" thickBot="1"/>
    <row r="4" spans="1:5" ht="21" thickBot="1">
      <c r="A4" s="277" t="s">
        <v>165</v>
      </c>
      <c r="B4" s="278"/>
      <c r="C4" s="278"/>
      <c r="D4" s="279"/>
    </row>
    <row r="5" spans="1:5">
      <c r="A5" s="280" t="s">
        <v>3</v>
      </c>
      <c r="B5" s="281"/>
      <c r="C5" s="281"/>
      <c r="D5" s="282"/>
    </row>
    <row r="6" spans="1:5">
      <c r="A6" s="283" t="s">
        <v>160</v>
      </c>
      <c r="B6" s="284"/>
      <c r="C6" s="284"/>
      <c r="D6" s="285"/>
    </row>
    <row r="7" spans="1:5">
      <c r="A7" s="270" t="s">
        <v>161</v>
      </c>
      <c r="B7" s="271"/>
      <c r="C7" s="271"/>
      <c r="D7" s="272"/>
    </row>
    <row r="8" spans="1:5">
      <c r="A8" s="251" t="s">
        <v>164</v>
      </c>
      <c r="B8" s="252"/>
      <c r="C8" s="252"/>
      <c r="D8" s="253"/>
    </row>
    <row r="9" spans="1:5">
      <c r="A9" s="92"/>
      <c r="B9" s="63" t="s">
        <v>151</v>
      </c>
      <c r="C9" s="19"/>
      <c r="D9" s="18"/>
    </row>
    <row r="10" spans="1:5">
      <c r="A10" s="93"/>
      <c r="B10" s="112" t="s">
        <v>4</v>
      </c>
      <c r="C10" s="254" t="s">
        <v>162</v>
      </c>
      <c r="D10" s="255"/>
    </row>
    <row r="11" spans="1:5">
      <c r="A11" s="92"/>
      <c r="B11" s="111" t="s">
        <v>5</v>
      </c>
      <c r="C11" s="254" t="s">
        <v>188</v>
      </c>
      <c r="D11" s="255"/>
    </row>
    <row r="12" spans="1:5">
      <c r="A12" s="93"/>
      <c r="B12" s="112" t="s">
        <v>6</v>
      </c>
      <c r="C12" s="254">
        <v>12</v>
      </c>
      <c r="D12" s="255"/>
    </row>
    <row r="13" spans="1:5">
      <c r="A13" s="9"/>
      <c r="B13" s="10"/>
      <c r="C13" s="10"/>
      <c r="D13" s="11"/>
    </row>
    <row r="14" spans="1:5">
      <c r="A14" s="256" t="s">
        <v>7</v>
      </c>
      <c r="B14" s="257"/>
      <c r="C14" s="257"/>
      <c r="D14" s="258"/>
    </row>
    <row r="15" spans="1:5">
      <c r="A15" s="92"/>
      <c r="B15" s="111" t="s">
        <v>8</v>
      </c>
      <c r="C15" s="259" t="s">
        <v>149</v>
      </c>
      <c r="D15" s="260"/>
      <c r="E15" s="65"/>
    </row>
    <row r="16" spans="1:5">
      <c r="A16" s="92"/>
      <c r="B16" s="111" t="s">
        <v>9</v>
      </c>
      <c r="C16" s="259">
        <v>1</v>
      </c>
      <c r="D16" s="260"/>
    </row>
    <row r="17" spans="1:6">
      <c r="A17" s="261" t="s">
        <v>10</v>
      </c>
      <c r="B17" s="262"/>
      <c r="C17" s="262"/>
      <c r="D17" s="263"/>
    </row>
    <row r="18" spans="1:6">
      <c r="A18" s="12">
        <v>1</v>
      </c>
      <c r="B18" s="111" t="s">
        <v>11</v>
      </c>
      <c r="C18" s="264"/>
      <c r="D18" s="265"/>
    </row>
    <row r="19" spans="1:6">
      <c r="A19" s="14">
        <v>2</v>
      </c>
      <c r="B19" s="112" t="s">
        <v>12</v>
      </c>
      <c r="C19" s="266"/>
      <c r="D19" s="267"/>
    </row>
    <row r="20" spans="1:6">
      <c r="A20" s="12">
        <v>3</v>
      </c>
      <c r="B20" s="111" t="s">
        <v>122</v>
      </c>
      <c r="C20" s="268">
        <v>4208.4799999999996</v>
      </c>
      <c r="D20" s="269"/>
      <c r="E20" s="65"/>
    </row>
    <row r="21" spans="1:6">
      <c r="A21" s="14">
        <v>4</v>
      </c>
      <c r="B21" s="112" t="s">
        <v>13</v>
      </c>
      <c r="C21" s="249" t="str">
        <f>A4</f>
        <v>ASSISTENTE II</v>
      </c>
      <c r="D21" s="250"/>
      <c r="E21" s="65"/>
    </row>
    <row r="22" spans="1:6" ht="16.2" thickBot="1">
      <c r="A22" s="38">
        <v>5</v>
      </c>
      <c r="B22" s="39" t="s">
        <v>14</v>
      </c>
      <c r="C22" s="247">
        <v>44986</v>
      </c>
      <c r="D22" s="248"/>
    </row>
    <row r="23" spans="1:6" s="37" customFormat="1" ht="16.2" thickBot="1">
      <c r="B23" s="64"/>
      <c r="C23" s="64"/>
      <c r="F23" s="64"/>
    </row>
    <row r="24" spans="1:6" ht="18">
      <c r="A24" s="224" t="s">
        <v>15</v>
      </c>
      <c r="B24" s="225"/>
      <c r="C24" s="225"/>
      <c r="D24" s="226"/>
      <c r="E24" s="65"/>
    </row>
    <row r="25" spans="1:6">
      <c r="A25" s="12">
        <v>1</v>
      </c>
      <c r="B25" s="111" t="s">
        <v>16</v>
      </c>
      <c r="C25" s="110" t="s">
        <v>148</v>
      </c>
      <c r="D25" s="113" t="s">
        <v>18</v>
      </c>
      <c r="E25" s="65"/>
    </row>
    <row r="26" spans="1:6">
      <c r="A26" s="93" t="s">
        <v>19</v>
      </c>
      <c r="B26" s="126" t="str">
        <f>"Salário Base "&amp;C26&amp;" horas semanais"</f>
        <v>Salário Base 40 horas semanais</v>
      </c>
      <c r="C26" s="122">
        <v>40</v>
      </c>
      <c r="D26" s="72">
        <f>ROUND((C20/40)*C26,2)</f>
        <v>4208.4799999999996</v>
      </c>
      <c r="E26" s="65"/>
    </row>
    <row r="27" spans="1:6">
      <c r="A27" s="92" t="s">
        <v>20</v>
      </c>
      <c r="B27" s="111" t="s">
        <v>143</v>
      </c>
      <c r="C27" s="121">
        <v>0</v>
      </c>
      <c r="D27" s="124">
        <f>ROUND(C27*1320,2)</f>
        <v>0</v>
      </c>
      <c r="E27" s="65"/>
    </row>
    <row r="28" spans="1:6">
      <c r="A28" s="93" t="s">
        <v>24</v>
      </c>
      <c r="B28" s="112" t="s">
        <v>21</v>
      </c>
      <c r="C28" s="121">
        <v>0</v>
      </c>
      <c r="D28" s="124">
        <f>ROUND((D26*C28),2)</f>
        <v>0</v>
      </c>
    </row>
    <row r="29" spans="1:6">
      <c r="A29" s="92" t="s">
        <v>25</v>
      </c>
      <c r="B29" s="111" t="s">
        <v>22</v>
      </c>
      <c r="C29" s="121">
        <v>0</v>
      </c>
      <c r="D29" s="5">
        <v>0</v>
      </c>
    </row>
    <row r="30" spans="1:6">
      <c r="A30" s="93" t="s">
        <v>26</v>
      </c>
      <c r="B30" s="112" t="s">
        <v>23</v>
      </c>
      <c r="C30" s="121">
        <v>0</v>
      </c>
      <c r="D30" s="72">
        <v>0</v>
      </c>
    </row>
    <row r="31" spans="1:6">
      <c r="A31" s="92" t="s">
        <v>29</v>
      </c>
      <c r="B31" s="111" t="s">
        <v>27</v>
      </c>
      <c r="C31" s="121">
        <v>0</v>
      </c>
      <c r="D31" s="5">
        <v>0</v>
      </c>
    </row>
    <row r="32" spans="1:6">
      <c r="A32" s="93" t="s">
        <v>30</v>
      </c>
      <c r="B32" s="112" t="s">
        <v>28</v>
      </c>
      <c r="C32" s="121">
        <v>0</v>
      </c>
      <c r="D32" s="124">
        <f>ROUND((C20*C32)/180*15,2)*15</f>
        <v>0</v>
      </c>
    </row>
    <row r="33" spans="1:9" ht="16.2" thickBot="1">
      <c r="A33" s="54" t="s">
        <v>31</v>
      </c>
      <c r="B33" s="58" t="s">
        <v>155</v>
      </c>
      <c r="C33" s="59" t="s">
        <v>156</v>
      </c>
      <c r="D33" s="55"/>
    </row>
    <row r="34" spans="1:9" ht="21" thickBot="1">
      <c r="A34" s="231" t="s">
        <v>110</v>
      </c>
      <c r="B34" s="234"/>
      <c r="C34" s="56"/>
      <c r="D34" s="57">
        <f>ROUND(SUM(D26:D33),2)</f>
        <v>4208.4799999999996</v>
      </c>
      <c r="E34" s="120"/>
      <c r="G34" s="65"/>
      <c r="H34" s="65"/>
    </row>
    <row r="35" spans="1:9" s="37" customFormat="1" ht="16.2" thickBot="1">
      <c r="B35" s="64"/>
      <c r="C35" s="64"/>
      <c r="G35" s="64"/>
    </row>
    <row r="36" spans="1:9" ht="18">
      <c r="A36" s="224" t="s">
        <v>33</v>
      </c>
      <c r="B36" s="225"/>
      <c r="C36" s="225"/>
      <c r="D36" s="226"/>
      <c r="G36" s="99"/>
    </row>
    <row r="37" spans="1:9">
      <c r="A37" s="92" t="s">
        <v>34</v>
      </c>
      <c r="B37" s="63" t="s">
        <v>35</v>
      </c>
      <c r="C37" s="111"/>
      <c r="D37" s="27" t="s">
        <v>18</v>
      </c>
      <c r="G37" s="65"/>
    </row>
    <row r="38" spans="1:9">
      <c r="A38" s="93" t="s">
        <v>19</v>
      </c>
      <c r="B38" s="62" t="s">
        <v>58</v>
      </c>
      <c r="C38" s="73">
        <f>ENCARGOS!$C$10</f>
        <v>8.3299999999999999E-2</v>
      </c>
      <c r="D38" s="72">
        <f>ROUND(($D$34*ENCARGOS!$C$10),2)</f>
        <v>350.57</v>
      </c>
      <c r="I38" s="99"/>
    </row>
    <row r="39" spans="1:9" s="37" customFormat="1">
      <c r="A39" s="70" t="s">
        <v>20</v>
      </c>
      <c r="B39" s="66" t="s">
        <v>59</v>
      </c>
      <c r="C39" s="67">
        <f>ENCARGOS!C11</f>
        <v>2.7799999999999998E-2</v>
      </c>
      <c r="D39" s="46">
        <f>ROUND(($D$34*ENCARGOS!$C11),2)</f>
        <v>117</v>
      </c>
    </row>
    <row r="40" spans="1:9" ht="21" thickBot="1">
      <c r="A40" s="242" t="s">
        <v>115</v>
      </c>
      <c r="B40" s="244"/>
      <c r="C40" s="61">
        <f>SUM(C38:C39)</f>
        <v>0.1111</v>
      </c>
      <c r="D40" s="29">
        <f>ROUND(SUM(D38:D39),2)</f>
        <v>467.57</v>
      </c>
    </row>
    <row r="41" spans="1:9" ht="31.2">
      <c r="A41" s="30" t="s">
        <v>60</v>
      </c>
      <c r="B41" s="31" t="s">
        <v>120</v>
      </c>
      <c r="C41" s="32" t="s">
        <v>17</v>
      </c>
      <c r="D41" s="33" t="s">
        <v>18</v>
      </c>
      <c r="E41" s="98"/>
    </row>
    <row r="42" spans="1:9">
      <c r="A42" s="93" t="s">
        <v>19</v>
      </c>
      <c r="B42" s="112" t="s">
        <v>2</v>
      </c>
      <c r="C42" s="73">
        <f>ENCARGOS!$C$14</f>
        <v>0.2</v>
      </c>
      <c r="D42" s="72">
        <f>($D$34+$D$40)*C42</f>
        <v>935.20999999999992</v>
      </c>
      <c r="E42" s="65"/>
      <c r="F42" s="98"/>
    </row>
    <row r="43" spans="1:9" s="37" customFormat="1">
      <c r="A43" s="70" t="s">
        <v>20</v>
      </c>
      <c r="B43" s="71" t="s">
        <v>61</v>
      </c>
      <c r="C43" s="67">
        <f>ENCARGOS!$C$15</f>
        <v>2.5000000000000001E-2</v>
      </c>
      <c r="D43" s="46">
        <f t="shared" ref="D43:D49" si="0">($D$34+$D$40)*C43</f>
        <v>116.90124999999999</v>
      </c>
      <c r="E43" s="65"/>
    </row>
    <row r="44" spans="1:9">
      <c r="A44" s="93" t="s">
        <v>24</v>
      </c>
      <c r="B44" s="112" t="s">
        <v>62</v>
      </c>
      <c r="C44" s="73">
        <f>ENCARGOS!$C$16</f>
        <v>0.02</v>
      </c>
      <c r="D44" s="72">
        <f t="shared" si="0"/>
        <v>93.520999999999987</v>
      </c>
      <c r="E44" s="65"/>
    </row>
    <row r="45" spans="1:9" s="37" customFormat="1">
      <c r="A45" s="70" t="s">
        <v>25</v>
      </c>
      <c r="B45" s="71" t="s">
        <v>63</v>
      </c>
      <c r="C45" s="67">
        <f>ENCARGOS!$C$17</f>
        <v>1.4999999999999999E-2</v>
      </c>
      <c r="D45" s="46">
        <f t="shared" si="0"/>
        <v>70.140749999999983</v>
      </c>
      <c r="E45" s="65"/>
    </row>
    <row r="46" spans="1:9">
      <c r="A46" s="93" t="s">
        <v>26</v>
      </c>
      <c r="B46" s="112" t="s">
        <v>64</v>
      </c>
      <c r="C46" s="73">
        <f>ENCARGOS!$C$18</f>
        <v>0.01</v>
      </c>
      <c r="D46" s="72">
        <f t="shared" si="0"/>
        <v>46.760499999999993</v>
      </c>
      <c r="E46" s="65"/>
    </row>
    <row r="47" spans="1:9" s="37" customFormat="1">
      <c r="A47" s="70" t="s">
        <v>29</v>
      </c>
      <c r="B47" s="71" t="s">
        <v>65</v>
      </c>
      <c r="C47" s="67">
        <f>ENCARGOS!$C$19</f>
        <v>6.0000000000000001E-3</v>
      </c>
      <c r="D47" s="46">
        <f t="shared" si="0"/>
        <v>28.056299999999997</v>
      </c>
      <c r="E47" s="65"/>
    </row>
    <row r="48" spans="1:9">
      <c r="A48" s="93" t="s">
        <v>30</v>
      </c>
      <c r="B48" s="112" t="s">
        <v>66</v>
      </c>
      <c r="C48" s="73">
        <f>ENCARGOS!$C$20</f>
        <v>2E-3</v>
      </c>
      <c r="D48" s="72">
        <f t="shared" si="0"/>
        <v>9.3520999999999983</v>
      </c>
      <c r="E48" s="65"/>
    </row>
    <row r="49" spans="1:7" s="37" customFormat="1">
      <c r="A49" s="70" t="s">
        <v>31</v>
      </c>
      <c r="B49" s="71" t="s">
        <v>1</v>
      </c>
      <c r="C49" s="67">
        <f>ENCARGOS!$C$21</f>
        <v>0.08</v>
      </c>
      <c r="D49" s="46">
        <f t="shared" si="0"/>
        <v>374.08399999999995</v>
      </c>
      <c r="E49" s="65"/>
    </row>
    <row r="50" spans="1:7" ht="21" thickBot="1">
      <c r="A50" s="242" t="s">
        <v>115</v>
      </c>
      <c r="B50" s="243"/>
      <c r="C50" s="61">
        <f>SUM(C42:C49)</f>
        <v>0.35800000000000004</v>
      </c>
      <c r="D50" s="29">
        <f>SUM(D42:D49)</f>
        <v>1674.0259000000001</v>
      </c>
      <c r="E50" s="65"/>
      <c r="F50" s="65"/>
      <c r="G50" s="97"/>
    </row>
    <row r="51" spans="1:7">
      <c r="A51" s="30" t="s">
        <v>54</v>
      </c>
      <c r="B51" s="34" t="s">
        <v>55</v>
      </c>
      <c r="C51" s="32" t="s">
        <v>17</v>
      </c>
      <c r="D51" s="33" t="s">
        <v>18</v>
      </c>
    </row>
    <row r="52" spans="1:7">
      <c r="A52" s="93" t="s">
        <v>19</v>
      </c>
      <c r="B52" s="127" t="s">
        <v>67</v>
      </c>
      <c r="C52" s="123">
        <v>-0.06</v>
      </c>
      <c r="D52" s="124">
        <f>ROUND((6*2*22)-((-1*C52)*D26),2)</f>
        <v>11.49</v>
      </c>
      <c r="F52" s="65"/>
    </row>
    <row r="53" spans="1:7">
      <c r="A53" s="92" t="s">
        <v>20</v>
      </c>
      <c r="B53" s="127" t="s">
        <v>144</v>
      </c>
      <c r="C53" s="125">
        <v>0</v>
      </c>
      <c r="D53" s="124">
        <f>ROUND((756*1)*(100%+C53),2)</f>
        <v>756</v>
      </c>
      <c r="F53" s="65"/>
    </row>
    <row r="54" spans="1:7">
      <c r="A54" s="92" t="s">
        <v>24</v>
      </c>
      <c r="B54" s="66" t="s">
        <v>180</v>
      </c>
      <c r="C54" s="193"/>
      <c r="D54" s="46">
        <v>371</v>
      </c>
      <c r="E54" s="65"/>
      <c r="F54" s="97"/>
    </row>
    <row r="55" spans="1:7">
      <c r="A55" s="92" t="s">
        <v>25</v>
      </c>
      <c r="B55" s="63" t="s">
        <v>185</v>
      </c>
      <c r="C55" s="6"/>
      <c r="D55" s="5">
        <v>75.5</v>
      </c>
      <c r="E55" s="65"/>
      <c r="F55" s="65"/>
    </row>
    <row r="56" spans="1:7">
      <c r="A56" s="130" t="s">
        <v>26</v>
      </c>
      <c r="B56" s="63" t="s">
        <v>186</v>
      </c>
      <c r="C56" s="6"/>
      <c r="D56" s="131">
        <v>25</v>
      </c>
      <c r="E56" s="65"/>
      <c r="F56" s="65"/>
    </row>
    <row r="57" spans="1:7">
      <c r="A57" s="92" t="s">
        <v>29</v>
      </c>
      <c r="B57" s="63"/>
      <c r="C57" s="6"/>
      <c r="D57" s="5"/>
      <c r="E57" s="65"/>
      <c r="F57" s="65"/>
    </row>
    <row r="58" spans="1:7" ht="21" thickBot="1">
      <c r="A58" s="242" t="s">
        <v>115</v>
      </c>
      <c r="B58" s="244"/>
      <c r="C58" s="28"/>
      <c r="D58" s="29">
        <f>SUM(D52:D57)</f>
        <v>1238.99</v>
      </c>
    </row>
    <row r="59" spans="1:7" ht="15.75" customHeight="1">
      <c r="A59" s="35">
        <v>2</v>
      </c>
      <c r="B59" s="245" t="s">
        <v>68</v>
      </c>
      <c r="C59" s="246"/>
      <c r="D59" s="36" t="s">
        <v>18</v>
      </c>
    </row>
    <row r="60" spans="1:7">
      <c r="A60" s="15" t="s">
        <v>34</v>
      </c>
      <c r="B60" s="20" t="s">
        <v>35</v>
      </c>
      <c r="C60" s="22"/>
      <c r="D60" s="16">
        <f>D40</f>
        <v>467.57</v>
      </c>
    </row>
    <row r="61" spans="1:7">
      <c r="A61" s="7" t="s">
        <v>60</v>
      </c>
      <c r="B61" s="21" t="s">
        <v>69</v>
      </c>
      <c r="C61" s="23"/>
      <c r="D61" s="8">
        <f>D50</f>
        <v>1674.0259000000001</v>
      </c>
    </row>
    <row r="62" spans="1:7" ht="16.2" thickBot="1">
      <c r="A62" s="50" t="s">
        <v>54</v>
      </c>
      <c r="B62" s="51" t="s">
        <v>55</v>
      </c>
      <c r="C62" s="52"/>
      <c r="D62" s="53">
        <f>D58</f>
        <v>1238.99</v>
      </c>
    </row>
    <row r="63" spans="1:7" ht="21" thickBot="1">
      <c r="A63" s="231" t="s">
        <v>111</v>
      </c>
      <c r="B63" s="232"/>
      <c r="C63" s="49"/>
      <c r="D63" s="57">
        <f>SUM(D60:D62)</f>
        <v>3380.5859</v>
      </c>
    </row>
    <row r="64" spans="1:7" s="37" customFormat="1" ht="16.2" thickBot="1"/>
    <row r="65" spans="1:5" ht="18">
      <c r="A65" s="240" t="s">
        <v>70</v>
      </c>
      <c r="B65" s="241"/>
      <c r="C65" s="241"/>
      <c r="D65" s="40"/>
    </row>
    <row r="66" spans="1:5">
      <c r="A66" s="12">
        <v>3</v>
      </c>
      <c r="B66" s="63" t="s">
        <v>71</v>
      </c>
      <c r="C66" s="45" t="s">
        <v>17</v>
      </c>
      <c r="D66" s="27" t="s">
        <v>18</v>
      </c>
    </row>
    <row r="67" spans="1:5">
      <c r="A67" s="93" t="s">
        <v>19</v>
      </c>
      <c r="B67" s="62" t="s">
        <v>72</v>
      </c>
      <c r="C67" s="73">
        <f>ENCARGOS!C24</f>
        <v>4.1999999999999997E-3</v>
      </c>
      <c r="D67" s="72">
        <f>C67*$D$34</f>
        <v>17.675615999999998</v>
      </c>
    </row>
    <row r="68" spans="1:5">
      <c r="A68" s="92" t="s">
        <v>20</v>
      </c>
      <c r="B68" s="66" t="s">
        <v>73</v>
      </c>
      <c r="C68" s="67">
        <f>ENCARGOS!C25</f>
        <v>2.9999999999999997E-4</v>
      </c>
      <c r="D68" s="5">
        <f t="shared" ref="D68:D72" si="1">C68*$D$34</f>
        <v>1.2625439999999997</v>
      </c>
    </row>
    <row r="69" spans="1:5">
      <c r="A69" s="93" t="s">
        <v>24</v>
      </c>
      <c r="B69" s="62" t="s">
        <v>146</v>
      </c>
      <c r="C69" s="73">
        <f>ENCARGOS!C26</f>
        <v>3.44E-2</v>
      </c>
      <c r="D69" s="72">
        <f t="shared" si="1"/>
        <v>144.77171199999998</v>
      </c>
    </row>
    <row r="70" spans="1:5">
      <c r="A70" s="92" t="s">
        <v>25</v>
      </c>
      <c r="B70" s="66" t="s">
        <v>74</v>
      </c>
      <c r="C70" s="67">
        <f>ENCARGOS!C27</f>
        <v>1.9400000000000001E-2</v>
      </c>
      <c r="D70" s="5">
        <f t="shared" si="1"/>
        <v>81.644511999999992</v>
      </c>
    </row>
    <row r="71" spans="1:5">
      <c r="A71" s="93" t="s">
        <v>26</v>
      </c>
      <c r="B71" s="62" t="s">
        <v>75</v>
      </c>
      <c r="C71" s="73">
        <f>ENCARGOS!C28</f>
        <v>7.1999999999999998E-3</v>
      </c>
      <c r="D71" s="72">
        <f t="shared" si="1"/>
        <v>30.301055999999996</v>
      </c>
    </row>
    <row r="72" spans="1:5" ht="16.2" thickBot="1">
      <c r="A72" s="54" t="s">
        <v>29</v>
      </c>
      <c r="B72" s="68" t="s">
        <v>147</v>
      </c>
      <c r="C72" s="69">
        <f>ENCARGOS!C29</f>
        <v>5.9999999999999995E-4</v>
      </c>
      <c r="D72" s="5">
        <f t="shared" si="1"/>
        <v>2.5250879999999993</v>
      </c>
    </row>
    <row r="73" spans="1:5" ht="21" thickBot="1">
      <c r="A73" s="231" t="s">
        <v>112</v>
      </c>
      <c r="B73" s="232"/>
      <c r="C73" s="60">
        <f>SUM(C67:C72)</f>
        <v>6.6100000000000006E-2</v>
      </c>
      <c r="D73" s="57">
        <f>ROUND(SUM(D67:D72),2)</f>
        <v>278.18</v>
      </c>
    </row>
    <row r="74" spans="1:5" s="37" customFormat="1" ht="27.75" customHeight="1" thickBot="1">
      <c r="D74" s="64"/>
    </row>
    <row r="75" spans="1:5" ht="18">
      <c r="A75" s="240" t="s">
        <v>76</v>
      </c>
      <c r="B75" s="241"/>
      <c r="C75" s="241"/>
      <c r="D75" s="40"/>
    </row>
    <row r="76" spans="1:5">
      <c r="A76" s="92" t="s">
        <v>77</v>
      </c>
      <c r="B76" s="63" t="s">
        <v>78</v>
      </c>
      <c r="C76" s="26" t="s">
        <v>17</v>
      </c>
      <c r="D76" s="27" t="s">
        <v>18</v>
      </c>
    </row>
    <row r="77" spans="1:5">
      <c r="A77" s="93" t="s">
        <v>19</v>
      </c>
      <c r="B77" s="62" t="s">
        <v>79</v>
      </c>
      <c r="C77" s="73">
        <f>ENCARGOS!$C33</f>
        <v>8.3299999999999999E-2</v>
      </c>
      <c r="D77" s="72">
        <f t="shared" ref="D77:D82" si="2">ROUND(($D$34*C77),2)</f>
        <v>350.57</v>
      </c>
      <c r="E77" s="120"/>
    </row>
    <row r="78" spans="1:5">
      <c r="A78" s="70" t="s">
        <v>20</v>
      </c>
      <c r="B78" s="66" t="s">
        <v>135</v>
      </c>
      <c r="C78" s="67">
        <f>ENCARGOS!$C34</f>
        <v>1.66E-2</v>
      </c>
      <c r="D78" s="46">
        <f t="shared" si="2"/>
        <v>69.86</v>
      </c>
      <c r="E78" s="120"/>
    </row>
    <row r="79" spans="1:5" s="37" customFormat="1">
      <c r="A79" s="93" t="s">
        <v>24</v>
      </c>
      <c r="B79" s="62" t="s">
        <v>80</v>
      </c>
      <c r="C79" s="73">
        <f>ENCARGOS!$C35</f>
        <v>4.0000000000000002E-4</v>
      </c>
      <c r="D79" s="72">
        <f t="shared" si="2"/>
        <v>1.68</v>
      </c>
      <c r="E79" s="120"/>
    </row>
    <row r="80" spans="1:5">
      <c r="A80" s="70" t="s">
        <v>25</v>
      </c>
      <c r="B80" s="66" t="s">
        <v>81</v>
      </c>
      <c r="C80" s="67">
        <f>ENCARGOS!$C36</f>
        <v>1.5E-3</v>
      </c>
      <c r="D80" s="46">
        <f t="shared" si="2"/>
        <v>6.31</v>
      </c>
      <c r="E80" s="120"/>
    </row>
    <row r="81" spans="1:5" s="37" customFormat="1">
      <c r="A81" s="94" t="s">
        <v>26</v>
      </c>
      <c r="B81" s="95" t="s">
        <v>78</v>
      </c>
      <c r="C81" s="73">
        <f>ENCARGOS!$C37</f>
        <v>2.8E-3</v>
      </c>
      <c r="D81" s="72">
        <f t="shared" si="2"/>
        <v>11.78</v>
      </c>
      <c r="E81" s="120"/>
    </row>
    <row r="82" spans="1:5">
      <c r="A82" s="70" t="s">
        <v>29</v>
      </c>
      <c r="B82" s="66" t="s">
        <v>136</v>
      </c>
      <c r="C82" s="67">
        <f>ENCARGOS!$C38</f>
        <v>2E-3</v>
      </c>
      <c r="D82" s="46">
        <f t="shared" si="2"/>
        <v>8.42</v>
      </c>
      <c r="E82" s="120"/>
    </row>
    <row r="83" spans="1:5" ht="21" thickBot="1">
      <c r="A83" s="238" t="s">
        <v>115</v>
      </c>
      <c r="B83" s="239"/>
      <c r="C83" s="102">
        <f>SUM(C77:C82)</f>
        <v>0.1066</v>
      </c>
      <c r="D83" s="103">
        <f>ROUND(SUM(D77:D82),2)</f>
        <v>448.62</v>
      </c>
    </row>
    <row r="84" spans="1:5">
      <c r="A84" s="92"/>
      <c r="B84" s="63"/>
      <c r="C84" s="44"/>
      <c r="D84" s="4"/>
    </row>
    <row r="85" spans="1:5">
      <c r="A85" s="14">
        <v>4</v>
      </c>
      <c r="B85" s="24" t="s">
        <v>84</v>
      </c>
      <c r="C85" s="25"/>
      <c r="D85" s="17" t="s">
        <v>18</v>
      </c>
    </row>
    <row r="86" spans="1:5">
      <c r="A86" s="92" t="s">
        <v>77</v>
      </c>
      <c r="B86" s="63" t="s">
        <v>85</v>
      </c>
      <c r="C86" s="44"/>
      <c r="D86" s="5">
        <f>D83</f>
        <v>448.62</v>
      </c>
    </row>
    <row r="87" spans="1:5" ht="16.2" thickBot="1">
      <c r="A87" s="94" t="s">
        <v>82</v>
      </c>
      <c r="B87" s="95" t="s">
        <v>83</v>
      </c>
      <c r="C87" s="47"/>
      <c r="D87" s="48">
        <f>D32</f>
        <v>0</v>
      </c>
    </row>
    <row r="88" spans="1:5" ht="21" thickBot="1">
      <c r="A88" s="231" t="s">
        <v>114</v>
      </c>
      <c r="B88" s="232"/>
      <c r="C88" s="234"/>
      <c r="D88" s="57">
        <f>ROUND(SUM(D86:D87),2)</f>
        <v>448.62</v>
      </c>
    </row>
    <row r="89" spans="1:5" s="37" customFormat="1" ht="27.75" customHeight="1" thickBot="1">
      <c r="B89" s="43"/>
    </row>
    <row r="90" spans="1:5" ht="18">
      <c r="A90" s="227" t="s">
        <v>86</v>
      </c>
      <c r="B90" s="228"/>
      <c r="C90" s="228"/>
      <c r="D90" s="41"/>
    </row>
    <row r="91" spans="1:5">
      <c r="A91" s="12">
        <v>3</v>
      </c>
      <c r="B91" s="63" t="s">
        <v>87</v>
      </c>
      <c r="C91" s="44"/>
      <c r="D91" s="27" t="s">
        <v>18</v>
      </c>
    </row>
    <row r="92" spans="1:5" ht="16.2" thickBot="1">
      <c r="A92" s="128" t="s">
        <v>19</v>
      </c>
      <c r="B92" s="233" t="s">
        <v>181</v>
      </c>
      <c r="C92" s="233"/>
      <c r="D92" s="129">
        <f>15/12</f>
        <v>1.25</v>
      </c>
      <c r="E92" s="65"/>
    </row>
    <row r="93" spans="1:5" ht="21" thickBot="1">
      <c r="A93" s="231" t="s">
        <v>115</v>
      </c>
      <c r="B93" s="232"/>
      <c r="C93" s="234"/>
      <c r="D93" s="57">
        <f>ROUND(SUM(D92:D92),2)</f>
        <v>1.25</v>
      </c>
    </row>
    <row r="94" spans="1:5" ht="18">
      <c r="A94" s="227" t="s">
        <v>88</v>
      </c>
      <c r="B94" s="228"/>
      <c r="C94" s="228"/>
      <c r="D94" s="42"/>
      <c r="E94" s="65"/>
    </row>
    <row r="95" spans="1:5">
      <c r="A95" s="12">
        <v>5</v>
      </c>
      <c r="B95" s="111" t="s">
        <v>89</v>
      </c>
      <c r="C95" s="26" t="s">
        <v>17</v>
      </c>
      <c r="D95" s="27" t="s">
        <v>18</v>
      </c>
    </row>
    <row r="96" spans="1:5">
      <c r="A96" s="93" t="s">
        <v>19</v>
      </c>
      <c r="B96" s="112" t="s">
        <v>90</v>
      </c>
      <c r="C96" s="123">
        <f>'ASSISTENTE 1'!C96</f>
        <v>0.06</v>
      </c>
      <c r="D96" s="16">
        <f>ROUND((D114)*(C96),2)</f>
        <v>499.03</v>
      </c>
      <c r="E96" s="65"/>
    </row>
    <row r="97" spans="1:10">
      <c r="A97" s="92" t="s">
        <v>20</v>
      </c>
      <c r="B97" s="111" t="s">
        <v>91</v>
      </c>
      <c r="C97" s="123">
        <v>6.2792864600481807E-2</v>
      </c>
      <c r="D97" s="5">
        <f>ROUND((D96+D114)*(C97),2)</f>
        <v>553.59</v>
      </c>
      <c r="E97" s="65"/>
    </row>
    <row r="98" spans="1:10">
      <c r="A98" s="93" t="s">
        <v>24</v>
      </c>
      <c r="B98" s="112" t="s">
        <v>92</v>
      </c>
      <c r="C98" s="73"/>
      <c r="D98" s="72"/>
      <c r="E98" s="65"/>
    </row>
    <row r="99" spans="1:10">
      <c r="A99" s="92"/>
      <c r="B99" s="111" t="s">
        <v>93</v>
      </c>
      <c r="C99" s="6"/>
      <c r="D99" s="5"/>
      <c r="E99" s="65"/>
    </row>
    <row r="100" spans="1:10">
      <c r="A100" s="93"/>
      <c r="B100" s="112" t="s">
        <v>94</v>
      </c>
      <c r="C100" s="182">
        <f>'Calculo SPED'!F16</f>
        <v>1.7202073069227553E-3</v>
      </c>
      <c r="D100" s="72">
        <f>ROUND((D114+D96+D97)*C100,2)</f>
        <v>16.12</v>
      </c>
    </row>
    <row r="101" spans="1:10">
      <c r="A101" s="92"/>
      <c r="B101" s="111" t="s">
        <v>95</v>
      </c>
      <c r="C101" s="183">
        <f>'Calculo SPED'!I16</f>
        <v>7.9584113825690948E-3</v>
      </c>
      <c r="D101" s="5">
        <f>ROUND((D114+D96+D97)*C101,2)</f>
        <v>74.569999999999993</v>
      </c>
    </row>
    <row r="102" spans="1:10">
      <c r="A102" s="93"/>
      <c r="B102" s="112" t="s">
        <v>96</v>
      </c>
      <c r="C102" s="73"/>
      <c r="D102" s="72"/>
    </row>
    <row r="103" spans="1:10">
      <c r="A103" s="92"/>
      <c r="B103" s="111" t="s">
        <v>97</v>
      </c>
      <c r="C103" s="6"/>
      <c r="D103" s="5"/>
      <c r="E103" s="65"/>
    </row>
    <row r="104" spans="1:10">
      <c r="A104" s="93"/>
      <c r="B104" s="112" t="s">
        <v>116</v>
      </c>
      <c r="C104" s="73">
        <v>0.05</v>
      </c>
      <c r="D104" s="72">
        <f>IF(C10="CURITIBA/PR",(D92+D96+D97+D100+D101)*C104,(D114+D96+D97+D100+D101+D102+D103)*C104)</f>
        <v>473.02150000000012</v>
      </c>
      <c r="E104" s="235" t="s">
        <v>129</v>
      </c>
      <c r="F104" s="235"/>
      <c r="G104" s="235"/>
      <c r="H104" s="235"/>
      <c r="I104" s="235"/>
      <c r="J104" s="235"/>
    </row>
    <row r="105" spans="1:10" ht="33" customHeight="1" thickBot="1">
      <c r="A105" s="236" t="s">
        <v>113</v>
      </c>
      <c r="B105" s="237"/>
      <c r="C105" s="61">
        <f>SUM(C96:C104)</f>
        <v>0.18247148328997365</v>
      </c>
      <c r="D105" s="29">
        <f>ROUND(SUM(D96:D104),2)</f>
        <v>1616.33</v>
      </c>
      <c r="E105" s="235"/>
      <c r="F105" s="235"/>
      <c r="G105" s="235"/>
      <c r="H105" s="235"/>
      <c r="I105" s="235"/>
      <c r="J105" s="235"/>
    </row>
    <row r="106" spans="1:10" s="37" customFormat="1" ht="27.75" customHeight="1" thickBot="1"/>
    <row r="107" spans="1:10" ht="18">
      <c r="A107" s="224" t="s">
        <v>98</v>
      </c>
      <c r="B107" s="225"/>
      <c r="C107" s="225"/>
      <c r="D107" s="226"/>
    </row>
    <row r="108" spans="1:10">
      <c r="A108" s="92"/>
      <c r="B108" s="219" t="s">
        <v>99</v>
      </c>
      <c r="C108" s="219"/>
      <c r="D108" s="113" t="s">
        <v>18</v>
      </c>
    </row>
    <row r="109" spans="1:10">
      <c r="A109" s="93" t="s">
        <v>19</v>
      </c>
      <c r="B109" s="220" t="s">
        <v>100</v>
      </c>
      <c r="C109" s="220"/>
      <c r="D109" s="72">
        <f>D34</f>
        <v>4208.4799999999996</v>
      </c>
    </row>
    <row r="110" spans="1:10">
      <c r="A110" s="92" t="s">
        <v>20</v>
      </c>
      <c r="B110" s="219" t="s">
        <v>101</v>
      </c>
      <c r="C110" s="219"/>
      <c r="D110" s="5">
        <f>D63</f>
        <v>3380.5859</v>
      </c>
    </row>
    <row r="111" spans="1:10">
      <c r="A111" s="93" t="s">
        <v>24</v>
      </c>
      <c r="B111" s="220" t="s">
        <v>102</v>
      </c>
      <c r="C111" s="220"/>
      <c r="D111" s="72">
        <f>D73</f>
        <v>278.18</v>
      </c>
    </row>
    <row r="112" spans="1:10">
      <c r="A112" s="92" t="s">
        <v>25</v>
      </c>
      <c r="B112" s="221" t="s">
        <v>103</v>
      </c>
      <c r="C112" s="221"/>
      <c r="D112" s="5">
        <f>D88</f>
        <v>448.62</v>
      </c>
    </row>
    <row r="113" spans="1:6">
      <c r="A113" s="93" t="s">
        <v>26</v>
      </c>
      <c r="B113" s="222" t="s">
        <v>104</v>
      </c>
      <c r="C113" s="222"/>
      <c r="D113" s="72">
        <f>D93</f>
        <v>1.25</v>
      </c>
    </row>
    <row r="114" spans="1:6">
      <c r="A114" s="92"/>
      <c r="B114" s="223" t="s">
        <v>105</v>
      </c>
      <c r="C114" s="223"/>
      <c r="D114" s="5">
        <f>ROUND(SUM(D109:D113),2)</f>
        <v>8317.1200000000008</v>
      </c>
    </row>
    <row r="115" spans="1:6">
      <c r="A115" s="93" t="s">
        <v>29</v>
      </c>
      <c r="B115" s="222" t="s">
        <v>106</v>
      </c>
      <c r="C115" s="222"/>
      <c r="D115" s="72">
        <f>D105</f>
        <v>1616.33</v>
      </c>
    </row>
    <row r="116" spans="1:6" ht="20.399999999999999">
      <c r="A116" s="229" t="s">
        <v>117</v>
      </c>
      <c r="B116" s="230"/>
      <c r="C116" s="230"/>
      <c r="D116" s="13">
        <f>D114+D115</f>
        <v>9933.4500000000007</v>
      </c>
      <c r="E116" s="65">
        <v>11444.19</v>
      </c>
    </row>
    <row r="117" spans="1:6" ht="20.399999999999999">
      <c r="A117" s="212" t="s">
        <v>118</v>
      </c>
      <c r="B117" s="213"/>
      <c r="C117" s="213"/>
      <c r="D117" s="13">
        <f>D116*C16</f>
        <v>9933.4500000000007</v>
      </c>
      <c r="E117" s="189">
        <v>0.13200899999999999</v>
      </c>
      <c r="F117" s="3" t="s">
        <v>183</v>
      </c>
    </row>
    <row r="118" spans="1:6" ht="20.399999999999999">
      <c r="A118" s="214" t="s">
        <v>119</v>
      </c>
      <c r="B118" s="215"/>
      <c r="C118" s="215"/>
      <c r="D118" s="100">
        <f>D117*C12</f>
        <v>119201.40000000001</v>
      </c>
      <c r="E118" s="65">
        <f>E116*E117</f>
        <v>1510.73607771</v>
      </c>
    </row>
    <row r="119" spans="1:6" ht="18.600000000000001" thickBot="1">
      <c r="A119" s="216">
        <f>D1</f>
        <v>0</v>
      </c>
      <c r="B119" s="217"/>
      <c r="C119" s="217"/>
      <c r="D119" s="218"/>
      <c r="E119" s="65">
        <f>E116-E118</f>
        <v>9933.4539222900003</v>
      </c>
      <c r="F119" s="3" t="s">
        <v>184</v>
      </c>
    </row>
    <row r="120" spans="1:6">
      <c r="B120" s="65"/>
      <c r="D120" s="65"/>
    </row>
  </sheetData>
  <mergeCells count="51">
    <mergeCell ref="A7:D7"/>
    <mergeCell ref="A1:D1"/>
    <mergeCell ref="A2:D2"/>
    <mergeCell ref="A4:D4"/>
    <mergeCell ref="A5:D5"/>
    <mergeCell ref="A6:D6"/>
    <mergeCell ref="C21:D21"/>
    <mergeCell ref="A8:D8"/>
    <mergeCell ref="C10:D10"/>
    <mergeCell ref="C11:D11"/>
    <mergeCell ref="C12:D12"/>
    <mergeCell ref="A14:D14"/>
    <mergeCell ref="C15:D15"/>
    <mergeCell ref="C16:D16"/>
    <mergeCell ref="A17:D17"/>
    <mergeCell ref="C18:D18"/>
    <mergeCell ref="C19:D19"/>
    <mergeCell ref="C20:D20"/>
    <mergeCell ref="C22:D22"/>
    <mergeCell ref="A24:D24"/>
    <mergeCell ref="A34:B34"/>
    <mergeCell ref="A36:D36"/>
    <mergeCell ref="A40:B40"/>
    <mergeCell ref="A50:B50"/>
    <mergeCell ref="A58:B58"/>
    <mergeCell ref="B59:C59"/>
    <mergeCell ref="A63:B63"/>
    <mergeCell ref="A65:C65"/>
    <mergeCell ref="A73:B73"/>
    <mergeCell ref="B92:C92"/>
    <mergeCell ref="A93:C93"/>
    <mergeCell ref="E104:J105"/>
    <mergeCell ref="A105:B105"/>
    <mergeCell ref="A83:B83"/>
    <mergeCell ref="A88:C88"/>
    <mergeCell ref="A90:C90"/>
    <mergeCell ref="A75:C75"/>
    <mergeCell ref="A107:D107"/>
    <mergeCell ref="A94:C94"/>
    <mergeCell ref="B108:C108"/>
    <mergeCell ref="A116:C116"/>
    <mergeCell ref="B109:C109"/>
    <mergeCell ref="A117:C117"/>
    <mergeCell ref="A118:C118"/>
    <mergeCell ref="A119:D119"/>
    <mergeCell ref="B110:C110"/>
    <mergeCell ref="B111:C111"/>
    <mergeCell ref="B112:C112"/>
    <mergeCell ref="B113:C113"/>
    <mergeCell ref="B114:C114"/>
    <mergeCell ref="B115:C115"/>
  </mergeCells>
  <conditionalFormatting sqref="E104:J105">
    <cfRule type="expression" dxfId="4" priority="1">
      <formula>$C$10="CURITIBA/PR"</formula>
    </cfRule>
  </conditionalFormatting>
  <pageMargins left="0.511811024" right="0.511811024" top="0.78740157499999996" bottom="0.78740157499999996" header="0.31496062000000002" footer="0.31496062000000002"/>
  <pageSetup paperSize="9" scale="54" orientation="portrait" r:id="rId1"/>
  <rowBreaks count="2" manualBreakCount="2">
    <brk id="57" max="3" man="1"/>
    <brk id="119"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79DFD-8FB0-4167-9049-FF8FF642E487}">
  <dimension ref="A1:J120"/>
  <sheetViews>
    <sheetView view="pageBreakPreview" topLeftCell="A82" zoomScaleNormal="100" zoomScaleSheetLayoutView="100" workbookViewId="0">
      <selection activeCell="B127" sqref="B127"/>
    </sheetView>
  </sheetViews>
  <sheetFormatPr defaultColWidth="9.109375" defaultRowHeight="15.6"/>
  <cols>
    <col min="1" max="1" width="3.88671875" style="3" customWidth="1"/>
    <col min="2" max="2" width="68.33203125" style="3" customWidth="1"/>
    <col min="3" max="4" width="23.44140625" style="3" customWidth="1"/>
    <col min="5" max="5" width="18.6640625" style="3" customWidth="1"/>
    <col min="6" max="6" width="15" style="3" customWidth="1"/>
    <col min="7" max="7" width="12.109375" style="3" bestFit="1" customWidth="1"/>
    <col min="8" max="8" width="9.5546875" style="3" bestFit="1" customWidth="1"/>
    <col min="9" max="16384" width="9.109375" style="3"/>
  </cols>
  <sheetData>
    <row r="1" spans="1:5" customFormat="1" ht="52.35" customHeight="1">
      <c r="A1" s="273" t="s">
        <v>152</v>
      </c>
      <c r="B1" s="274"/>
      <c r="C1" s="274"/>
      <c r="D1" s="274"/>
    </row>
    <row r="2" spans="1:5" customFormat="1" ht="31.5" customHeight="1" thickBot="1">
      <c r="A2" s="275" t="s">
        <v>153</v>
      </c>
      <c r="B2" s="276"/>
      <c r="C2" s="276"/>
      <c r="D2" s="276"/>
    </row>
    <row r="3" spans="1:5" customFormat="1" ht="15" customHeight="1" thickBot="1"/>
    <row r="4" spans="1:5" ht="21" thickBot="1">
      <c r="A4" s="277" t="s">
        <v>166</v>
      </c>
      <c r="B4" s="278"/>
      <c r="C4" s="278"/>
      <c r="D4" s="279"/>
    </row>
    <row r="5" spans="1:5">
      <c r="A5" s="280" t="s">
        <v>3</v>
      </c>
      <c r="B5" s="281"/>
      <c r="C5" s="281"/>
      <c r="D5" s="282"/>
    </row>
    <row r="6" spans="1:5">
      <c r="A6" s="283" t="s">
        <v>160</v>
      </c>
      <c r="B6" s="284"/>
      <c r="C6" s="284"/>
      <c r="D6" s="285"/>
    </row>
    <row r="7" spans="1:5">
      <c r="A7" s="270" t="s">
        <v>161</v>
      </c>
      <c r="B7" s="271"/>
      <c r="C7" s="271"/>
      <c r="D7" s="272"/>
    </row>
    <row r="8" spans="1:5">
      <c r="A8" s="251" t="s">
        <v>164</v>
      </c>
      <c r="B8" s="252"/>
      <c r="C8" s="252"/>
      <c r="D8" s="253"/>
    </row>
    <row r="9" spans="1:5">
      <c r="A9" s="92"/>
      <c r="B9" s="63" t="s">
        <v>151</v>
      </c>
      <c r="C9" s="19"/>
      <c r="D9" s="18"/>
    </row>
    <row r="10" spans="1:5">
      <c r="A10" s="93"/>
      <c r="B10" s="112" t="s">
        <v>4</v>
      </c>
      <c r="C10" s="254" t="s">
        <v>162</v>
      </c>
      <c r="D10" s="255"/>
    </row>
    <row r="11" spans="1:5">
      <c r="A11" s="92"/>
      <c r="B11" s="111" t="s">
        <v>5</v>
      </c>
      <c r="C11" s="254" t="s">
        <v>188</v>
      </c>
      <c r="D11" s="255"/>
    </row>
    <row r="12" spans="1:5">
      <c r="A12" s="93"/>
      <c r="B12" s="112" t="s">
        <v>6</v>
      </c>
      <c r="C12" s="254">
        <v>12</v>
      </c>
      <c r="D12" s="255"/>
    </row>
    <row r="13" spans="1:5">
      <c r="A13" s="9"/>
      <c r="B13" s="10"/>
      <c r="C13" s="10"/>
      <c r="D13" s="11"/>
    </row>
    <row r="14" spans="1:5">
      <c r="A14" s="256" t="s">
        <v>7</v>
      </c>
      <c r="B14" s="257"/>
      <c r="C14" s="257"/>
      <c r="D14" s="258"/>
    </row>
    <row r="15" spans="1:5">
      <c r="A15" s="92"/>
      <c r="B15" s="111" t="s">
        <v>8</v>
      </c>
      <c r="C15" s="259" t="s">
        <v>149</v>
      </c>
      <c r="D15" s="260"/>
      <c r="E15" s="65"/>
    </row>
    <row r="16" spans="1:5">
      <c r="A16" s="92"/>
      <c r="B16" s="111" t="s">
        <v>9</v>
      </c>
      <c r="C16" s="259">
        <v>1</v>
      </c>
      <c r="D16" s="260"/>
    </row>
    <row r="17" spans="1:6">
      <c r="A17" s="261" t="s">
        <v>10</v>
      </c>
      <c r="B17" s="262"/>
      <c r="C17" s="262"/>
      <c r="D17" s="263"/>
    </row>
    <row r="18" spans="1:6">
      <c r="A18" s="12">
        <v>1</v>
      </c>
      <c r="B18" s="111" t="s">
        <v>11</v>
      </c>
      <c r="C18" s="264"/>
      <c r="D18" s="265"/>
    </row>
    <row r="19" spans="1:6">
      <c r="A19" s="14">
        <v>2</v>
      </c>
      <c r="B19" s="112" t="s">
        <v>12</v>
      </c>
      <c r="C19" s="266"/>
      <c r="D19" s="267"/>
    </row>
    <row r="20" spans="1:6">
      <c r="A20" s="12">
        <v>3</v>
      </c>
      <c r="B20" s="111" t="s">
        <v>122</v>
      </c>
      <c r="C20" s="268">
        <v>5825.53</v>
      </c>
      <c r="D20" s="269"/>
      <c r="E20" s="65"/>
    </row>
    <row r="21" spans="1:6">
      <c r="A21" s="14">
        <v>4</v>
      </c>
      <c r="B21" s="112" t="s">
        <v>13</v>
      </c>
      <c r="C21" s="249" t="str">
        <f>A4</f>
        <v xml:space="preserve">ANALISTA I </v>
      </c>
      <c r="D21" s="250"/>
      <c r="E21" s="65"/>
    </row>
    <row r="22" spans="1:6" ht="16.2" thickBot="1">
      <c r="A22" s="38">
        <v>5</v>
      </c>
      <c r="B22" s="39" t="s">
        <v>14</v>
      </c>
      <c r="C22" s="247">
        <v>44986</v>
      </c>
      <c r="D22" s="248"/>
    </row>
    <row r="23" spans="1:6" s="37" customFormat="1" ht="16.2" thickBot="1">
      <c r="B23" s="64"/>
      <c r="C23" s="64"/>
      <c r="F23" s="64"/>
    </row>
    <row r="24" spans="1:6" ht="18">
      <c r="A24" s="224" t="s">
        <v>15</v>
      </c>
      <c r="B24" s="225"/>
      <c r="C24" s="225"/>
      <c r="D24" s="226"/>
      <c r="E24" s="65"/>
    </row>
    <row r="25" spans="1:6">
      <c r="A25" s="12">
        <v>1</v>
      </c>
      <c r="B25" s="111" t="s">
        <v>16</v>
      </c>
      <c r="C25" s="110" t="s">
        <v>148</v>
      </c>
      <c r="D25" s="113" t="s">
        <v>18</v>
      </c>
      <c r="E25" s="65"/>
    </row>
    <row r="26" spans="1:6">
      <c r="A26" s="93" t="s">
        <v>19</v>
      </c>
      <c r="B26" s="126" t="str">
        <f>"Salário Base "&amp;C26&amp;" horas semanais"</f>
        <v>Salário Base 40 horas semanais</v>
      </c>
      <c r="C26" s="122">
        <v>40</v>
      </c>
      <c r="D26" s="72">
        <f>ROUND((C20/40)*C26,2)</f>
        <v>5825.53</v>
      </c>
      <c r="E26" s="65"/>
    </row>
    <row r="27" spans="1:6">
      <c r="A27" s="92" t="s">
        <v>20</v>
      </c>
      <c r="B27" s="111" t="s">
        <v>143</v>
      </c>
      <c r="C27" s="121">
        <v>0</v>
      </c>
      <c r="D27" s="124">
        <f>ROUND(C27*1320,2)</f>
        <v>0</v>
      </c>
      <c r="E27" s="65"/>
    </row>
    <row r="28" spans="1:6">
      <c r="A28" s="93" t="s">
        <v>24</v>
      </c>
      <c r="B28" s="112" t="s">
        <v>21</v>
      </c>
      <c r="C28" s="121">
        <v>0</v>
      </c>
      <c r="D28" s="124">
        <f>ROUND((D26*C28),2)</f>
        <v>0</v>
      </c>
    </row>
    <row r="29" spans="1:6">
      <c r="A29" s="92" t="s">
        <v>25</v>
      </c>
      <c r="B29" s="111" t="s">
        <v>22</v>
      </c>
      <c r="C29" s="121">
        <v>0</v>
      </c>
      <c r="D29" s="5">
        <v>0</v>
      </c>
    </row>
    <row r="30" spans="1:6">
      <c r="A30" s="93" t="s">
        <v>26</v>
      </c>
      <c r="B30" s="112" t="s">
        <v>23</v>
      </c>
      <c r="C30" s="121">
        <v>0</v>
      </c>
      <c r="D30" s="72">
        <v>0</v>
      </c>
    </row>
    <row r="31" spans="1:6">
      <c r="A31" s="92" t="s">
        <v>29</v>
      </c>
      <c r="B31" s="111" t="s">
        <v>27</v>
      </c>
      <c r="C31" s="121">
        <v>0</v>
      </c>
      <c r="D31" s="5">
        <v>0</v>
      </c>
    </row>
    <row r="32" spans="1:6">
      <c r="A32" s="93" t="s">
        <v>30</v>
      </c>
      <c r="B32" s="112" t="s">
        <v>28</v>
      </c>
      <c r="C32" s="121">
        <v>0</v>
      </c>
      <c r="D32" s="134">
        <f>ROUND((C20*C32)/180*15,2)*15</f>
        <v>0</v>
      </c>
    </row>
    <row r="33" spans="1:9" ht="16.2" thickBot="1">
      <c r="A33" s="54" t="s">
        <v>31</v>
      </c>
      <c r="B33" s="58" t="s">
        <v>155</v>
      </c>
      <c r="C33" s="59" t="s">
        <v>156</v>
      </c>
      <c r="D33" s="55"/>
    </row>
    <row r="34" spans="1:9" ht="21" thickBot="1">
      <c r="A34" s="231" t="s">
        <v>110</v>
      </c>
      <c r="B34" s="234"/>
      <c r="C34" s="56"/>
      <c r="D34" s="57">
        <f>ROUND(SUM(D26:D33),2)</f>
        <v>5825.53</v>
      </c>
      <c r="E34" s="120"/>
      <c r="G34" s="65"/>
      <c r="H34" s="65"/>
    </row>
    <row r="35" spans="1:9" s="37" customFormat="1" ht="16.2" thickBot="1">
      <c r="B35" s="64"/>
      <c r="C35" s="64"/>
      <c r="G35" s="64"/>
    </row>
    <row r="36" spans="1:9" ht="18">
      <c r="A36" s="224" t="s">
        <v>33</v>
      </c>
      <c r="B36" s="225"/>
      <c r="C36" s="225"/>
      <c r="D36" s="226"/>
      <c r="G36" s="99"/>
    </row>
    <row r="37" spans="1:9">
      <c r="A37" s="92" t="s">
        <v>34</v>
      </c>
      <c r="B37" s="63" t="s">
        <v>35</v>
      </c>
      <c r="C37" s="111"/>
      <c r="D37" s="27" t="s">
        <v>18</v>
      </c>
      <c r="G37" s="65"/>
    </row>
    <row r="38" spans="1:9">
      <c r="A38" s="93" t="s">
        <v>19</v>
      </c>
      <c r="B38" s="62" t="s">
        <v>58</v>
      </c>
      <c r="C38" s="73">
        <f>ENCARGOS!$C$10</f>
        <v>8.3299999999999999E-2</v>
      </c>
      <c r="D38" s="72">
        <f>ROUND(($D$34*ENCARGOS!$C$10),2)</f>
        <v>485.27</v>
      </c>
      <c r="I38" s="99"/>
    </row>
    <row r="39" spans="1:9" s="37" customFormat="1">
      <c r="A39" s="70" t="s">
        <v>20</v>
      </c>
      <c r="B39" s="66" t="s">
        <v>59</v>
      </c>
      <c r="C39" s="67">
        <f>ENCARGOS!C11</f>
        <v>2.7799999999999998E-2</v>
      </c>
      <c r="D39" s="46">
        <f>ROUND(($D$34*ENCARGOS!$C11),2)</f>
        <v>161.94999999999999</v>
      </c>
    </row>
    <row r="40" spans="1:9" ht="21" thickBot="1">
      <c r="A40" s="242" t="s">
        <v>115</v>
      </c>
      <c r="B40" s="244"/>
      <c r="C40" s="61">
        <f>SUM(C38:C39)</f>
        <v>0.1111</v>
      </c>
      <c r="D40" s="29">
        <f>ROUND(SUM(D38:D39),2)</f>
        <v>647.22</v>
      </c>
    </row>
    <row r="41" spans="1:9" ht="31.2">
      <c r="A41" s="30" t="s">
        <v>60</v>
      </c>
      <c r="B41" s="31" t="s">
        <v>120</v>
      </c>
      <c r="C41" s="32" t="s">
        <v>17</v>
      </c>
      <c r="D41" s="33" t="s">
        <v>18</v>
      </c>
      <c r="E41" s="98"/>
    </row>
    <row r="42" spans="1:9">
      <c r="A42" s="93" t="s">
        <v>19</v>
      </c>
      <c r="B42" s="112" t="s">
        <v>2</v>
      </c>
      <c r="C42" s="73">
        <f>ENCARGOS!$C$14</f>
        <v>0.2</v>
      </c>
      <c r="D42" s="72">
        <f>($D$34+$D$40)*C42</f>
        <v>1294.5500000000002</v>
      </c>
      <c r="E42" s="65"/>
      <c r="F42" s="98"/>
    </row>
    <row r="43" spans="1:9" s="37" customFormat="1">
      <c r="A43" s="70" t="s">
        <v>20</v>
      </c>
      <c r="B43" s="71" t="s">
        <v>61</v>
      </c>
      <c r="C43" s="67">
        <f>ENCARGOS!$C$15</f>
        <v>2.5000000000000001E-2</v>
      </c>
      <c r="D43" s="46">
        <f t="shared" ref="D43:D49" si="0">($D$34+$D$40)*C43</f>
        <v>161.81875000000002</v>
      </c>
      <c r="E43" s="65"/>
    </row>
    <row r="44" spans="1:9">
      <c r="A44" s="93" t="s">
        <v>24</v>
      </c>
      <c r="B44" s="112" t="s">
        <v>62</v>
      </c>
      <c r="C44" s="73">
        <f>ENCARGOS!$C$16</f>
        <v>0.02</v>
      </c>
      <c r="D44" s="72">
        <f t="shared" si="0"/>
        <v>129.45500000000001</v>
      </c>
      <c r="E44" s="65"/>
    </row>
    <row r="45" spans="1:9" s="37" customFormat="1">
      <c r="A45" s="70" t="s">
        <v>25</v>
      </c>
      <c r="B45" s="71" t="s">
        <v>63</v>
      </c>
      <c r="C45" s="67">
        <f>ENCARGOS!$C$17</f>
        <v>1.4999999999999999E-2</v>
      </c>
      <c r="D45" s="46">
        <f t="shared" si="0"/>
        <v>97.091250000000002</v>
      </c>
      <c r="E45" s="65"/>
    </row>
    <row r="46" spans="1:9">
      <c r="A46" s="93" t="s">
        <v>26</v>
      </c>
      <c r="B46" s="112" t="s">
        <v>64</v>
      </c>
      <c r="C46" s="73">
        <f>ENCARGOS!$C$18</f>
        <v>0.01</v>
      </c>
      <c r="D46" s="72">
        <f t="shared" si="0"/>
        <v>64.727500000000006</v>
      </c>
      <c r="E46" s="65"/>
    </row>
    <row r="47" spans="1:9" s="37" customFormat="1">
      <c r="A47" s="70" t="s">
        <v>29</v>
      </c>
      <c r="B47" s="71" t="s">
        <v>65</v>
      </c>
      <c r="C47" s="67">
        <f>ENCARGOS!$C$19</f>
        <v>6.0000000000000001E-3</v>
      </c>
      <c r="D47" s="46">
        <f t="shared" si="0"/>
        <v>38.836500000000001</v>
      </c>
      <c r="E47" s="65"/>
    </row>
    <row r="48" spans="1:9">
      <c r="A48" s="93" t="s">
        <v>30</v>
      </c>
      <c r="B48" s="112" t="s">
        <v>66</v>
      </c>
      <c r="C48" s="73">
        <f>ENCARGOS!$C$20</f>
        <v>2E-3</v>
      </c>
      <c r="D48" s="72">
        <f t="shared" si="0"/>
        <v>12.945500000000001</v>
      </c>
      <c r="E48" s="65"/>
    </row>
    <row r="49" spans="1:7" s="37" customFormat="1">
      <c r="A49" s="70" t="s">
        <v>31</v>
      </c>
      <c r="B49" s="71" t="s">
        <v>1</v>
      </c>
      <c r="C49" s="67">
        <f>ENCARGOS!$C$21</f>
        <v>0.08</v>
      </c>
      <c r="D49" s="46">
        <f t="shared" si="0"/>
        <v>517.82000000000005</v>
      </c>
      <c r="E49" s="65"/>
    </row>
    <row r="50" spans="1:7" ht="21" thickBot="1">
      <c r="A50" s="242" t="s">
        <v>115</v>
      </c>
      <c r="B50" s="243"/>
      <c r="C50" s="61">
        <f>SUM(C42:C49)</f>
        <v>0.35800000000000004</v>
      </c>
      <c r="D50" s="29">
        <f>SUM(D42:D49)</f>
        <v>2317.2444999999998</v>
      </c>
      <c r="E50" s="65"/>
      <c r="F50" s="65"/>
      <c r="G50" s="97"/>
    </row>
    <row r="51" spans="1:7">
      <c r="A51" s="30" t="s">
        <v>54</v>
      </c>
      <c r="B51" s="34" t="s">
        <v>55</v>
      </c>
      <c r="C51" s="32" t="s">
        <v>17</v>
      </c>
      <c r="D51" s="33" t="s">
        <v>18</v>
      </c>
    </row>
    <row r="52" spans="1:7">
      <c r="A52" s="93" t="s">
        <v>19</v>
      </c>
      <c r="B52" s="127" t="s">
        <v>67</v>
      </c>
      <c r="C52" s="123">
        <v>0</v>
      </c>
      <c r="D52" s="124">
        <f>ROUND((0*2*22)-((-1*C52)*D26),2)</f>
        <v>0</v>
      </c>
      <c r="F52" s="65"/>
    </row>
    <row r="53" spans="1:7">
      <c r="A53" s="92" t="s">
        <v>20</v>
      </c>
      <c r="B53" s="127" t="s">
        <v>144</v>
      </c>
      <c r="C53" s="125">
        <v>0</v>
      </c>
      <c r="D53" s="124">
        <f>ROUND((756*1)*(100%+C53),2)</f>
        <v>756</v>
      </c>
      <c r="F53" s="65"/>
    </row>
    <row r="54" spans="1:7">
      <c r="A54" s="92" t="s">
        <v>24</v>
      </c>
      <c r="B54" s="66" t="s">
        <v>180</v>
      </c>
      <c r="C54" s="193"/>
      <c r="D54" s="46">
        <v>371</v>
      </c>
      <c r="E54" s="65"/>
      <c r="F54" s="97"/>
    </row>
    <row r="55" spans="1:7">
      <c r="A55" s="92" t="s">
        <v>25</v>
      </c>
      <c r="B55" s="63" t="s">
        <v>185</v>
      </c>
      <c r="C55" s="6"/>
      <c r="D55" s="5">
        <v>75.5</v>
      </c>
      <c r="E55" s="65"/>
      <c r="F55" s="65"/>
    </row>
    <row r="56" spans="1:7">
      <c r="A56" s="130" t="s">
        <v>26</v>
      </c>
      <c r="B56" s="63" t="s">
        <v>186</v>
      </c>
      <c r="C56" s="6"/>
      <c r="D56" s="131">
        <v>25</v>
      </c>
      <c r="E56" s="65"/>
      <c r="F56" s="65"/>
    </row>
    <row r="57" spans="1:7">
      <c r="A57" s="92" t="s">
        <v>29</v>
      </c>
      <c r="B57" s="63"/>
      <c r="C57" s="6"/>
      <c r="D57" s="5"/>
      <c r="E57" s="65"/>
      <c r="F57" s="65"/>
    </row>
    <row r="58" spans="1:7" ht="21" thickBot="1">
      <c r="A58" s="242" t="s">
        <v>115</v>
      </c>
      <c r="B58" s="244"/>
      <c r="C58" s="28"/>
      <c r="D58" s="29">
        <f>SUM(D52:D57)</f>
        <v>1227.5</v>
      </c>
    </row>
    <row r="59" spans="1:7" ht="15.75" customHeight="1">
      <c r="A59" s="35">
        <v>2</v>
      </c>
      <c r="B59" s="245" t="s">
        <v>68</v>
      </c>
      <c r="C59" s="246"/>
      <c r="D59" s="36" t="s">
        <v>18</v>
      </c>
    </row>
    <row r="60" spans="1:7">
      <c r="A60" s="15" t="s">
        <v>34</v>
      </c>
      <c r="B60" s="20" t="s">
        <v>35</v>
      </c>
      <c r="C60" s="22"/>
      <c r="D60" s="16">
        <f>D40</f>
        <v>647.22</v>
      </c>
    </row>
    <row r="61" spans="1:7">
      <c r="A61" s="7" t="s">
        <v>60</v>
      </c>
      <c r="B61" s="21" t="s">
        <v>69</v>
      </c>
      <c r="C61" s="23"/>
      <c r="D61" s="8">
        <f>D50</f>
        <v>2317.2444999999998</v>
      </c>
    </row>
    <row r="62" spans="1:7" ht="16.2" thickBot="1">
      <c r="A62" s="50" t="s">
        <v>54</v>
      </c>
      <c r="B62" s="51" t="s">
        <v>55</v>
      </c>
      <c r="C62" s="52"/>
      <c r="D62" s="53">
        <f>D58</f>
        <v>1227.5</v>
      </c>
    </row>
    <row r="63" spans="1:7" ht="21" thickBot="1">
      <c r="A63" s="231" t="s">
        <v>111</v>
      </c>
      <c r="B63" s="232"/>
      <c r="C63" s="49"/>
      <c r="D63" s="57">
        <f>SUM(D60:D62)</f>
        <v>4191.9645</v>
      </c>
    </row>
    <row r="64" spans="1:7" s="37" customFormat="1" ht="16.2" thickBot="1"/>
    <row r="65" spans="1:5" ht="18">
      <c r="A65" s="240" t="s">
        <v>70</v>
      </c>
      <c r="B65" s="241"/>
      <c r="C65" s="241"/>
      <c r="D65" s="40"/>
    </row>
    <row r="66" spans="1:5">
      <c r="A66" s="12">
        <v>3</v>
      </c>
      <c r="B66" s="63" t="s">
        <v>71</v>
      </c>
      <c r="C66" s="45" t="s">
        <v>17</v>
      </c>
      <c r="D66" s="27" t="s">
        <v>18</v>
      </c>
    </row>
    <row r="67" spans="1:5">
      <c r="A67" s="93" t="s">
        <v>19</v>
      </c>
      <c r="B67" s="62" t="s">
        <v>72</v>
      </c>
      <c r="C67" s="73">
        <f>ENCARGOS!C24</f>
        <v>4.1999999999999997E-3</v>
      </c>
      <c r="D67" s="72">
        <f>C67*$D$34</f>
        <v>24.467225999999997</v>
      </c>
    </row>
    <row r="68" spans="1:5">
      <c r="A68" s="92" t="s">
        <v>20</v>
      </c>
      <c r="B68" s="66" t="s">
        <v>73</v>
      </c>
      <c r="C68" s="67">
        <f>ENCARGOS!C25</f>
        <v>2.9999999999999997E-4</v>
      </c>
      <c r="D68" s="5">
        <f t="shared" ref="D68:D72" si="1">C68*$D$34</f>
        <v>1.7476589999999999</v>
      </c>
    </row>
    <row r="69" spans="1:5">
      <c r="A69" s="93" t="s">
        <v>24</v>
      </c>
      <c r="B69" s="62" t="s">
        <v>146</v>
      </c>
      <c r="C69" s="73">
        <f>ENCARGOS!C26</f>
        <v>3.44E-2</v>
      </c>
      <c r="D69" s="72">
        <f t="shared" si="1"/>
        <v>200.39823199999998</v>
      </c>
    </row>
    <row r="70" spans="1:5">
      <c r="A70" s="92" t="s">
        <v>25</v>
      </c>
      <c r="B70" s="66" t="s">
        <v>74</v>
      </c>
      <c r="C70" s="67">
        <f>ENCARGOS!C27</f>
        <v>1.9400000000000001E-2</v>
      </c>
      <c r="D70" s="5">
        <f t="shared" si="1"/>
        <v>113.015282</v>
      </c>
    </row>
    <row r="71" spans="1:5">
      <c r="A71" s="93" t="s">
        <v>26</v>
      </c>
      <c r="B71" s="62" t="s">
        <v>75</v>
      </c>
      <c r="C71" s="73">
        <f>ENCARGOS!C28</f>
        <v>7.1999999999999998E-3</v>
      </c>
      <c r="D71" s="72">
        <f t="shared" si="1"/>
        <v>41.943815999999998</v>
      </c>
    </row>
    <row r="72" spans="1:5" ht="16.2" thickBot="1">
      <c r="A72" s="54" t="s">
        <v>29</v>
      </c>
      <c r="B72" s="68" t="s">
        <v>147</v>
      </c>
      <c r="C72" s="69">
        <f>ENCARGOS!C29</f>
        <v>5.9999999999999995E-4</v>
      </c>
      <c r="D72" s="5">
        <f t="shared" si="1"/>
        <v>3.4953179999999997</v>
      </c>
    </row>
    <row r="73" spans="1:5" ht="21" thickBot="1">
      <c r="A73" s="231" t="s">
        <v>112</v>
      </c>
      <c r="B73" s="232"/>
      <c r="C73" s="60">
        <f>SUM(C67:C72)</f>
        <v>6.6100000000000006E-2</v>
      </c>
      <c r="D73" s="57">
        <f>ROUND(SUM(D67:D72),2)</f>
        <v>385.07</v>
      </c>
    </row>
    <row r="74" spans="1:5" s="37" customFormat="1" ht="27.75" customHeight="1" thickBot="1">
      <c r="D74" s="64"/>
    </row>
    <row r="75" spans="1:5" ht="18">
      <c r="A75" s="240" t="s">
        <v>76</v>
      </c>
      <c r="B75" s="241"/>
      <c r="C75" s="241"/>
      <c r="D75" s="40"/>
    </row>
    <row r="76" spans="1:5">
      <c r="A76" s="92" t="s">
        <v>77</v>
      </c>
      <c r="B76" s="63" t="s">
        <v>78</v>
      </c>
      <c r="C76" s="26" t="s">
        <v>17</v>
      </c>
      <c r="D76" s="27" t="s">
        <v>18</v>
      </c>
    </row>
    <row r="77" spans="1:5">
      <c r="A77" s="93" t="s">
        <v>19</v>
      </c>
      <c r="B77" s="62" t="s">
        <v>79</v>
      </c>
      <c r="C77" s="73">
        <f>ENCARGOS!$C33</f>
        <v>8.3299999999999999E-2</v>
      </c>
      <c r="D77" s="72">
        <f t="shared" ref="D77:D82" si="2">ROUND(($D$34*C77),2)</f>
        <v>485.27</v>
      </c>
      <c r="E77" s="120"/>
    </row>
    <row r="78" spans="1:5">
      <c r="A78" s="70" t="s">
        <v>20</v>
      </c>
      <c r="B78" s="66" t="s">
        <v>135</v>
      </c>
      <c r="C78" s="67">
        <f>ENCARGOS!$C34</f>
        <v>1.66E-2</v>
      </c>
      <c r="D78" s="46">
        <f t="shared" si="2"/>
        <v>96.7</v>
      </c>
      <c r="E78" s="120"/>
    </row>
    <row r="79" spans="1:5" s="37" customFormat="1">
      <c r="A79" s="93" t="s">
        <v>24</v>
      </c>
      <c r="B79" s="62" t="s">
        <v>80</v>
      </c>
      <c r="C79" s="73">
        <f>ENCARGOS!$C35</f>
        <v>4.0000000000000002E-4</v>
      </c>
      <c r="D79" s="72">
        <f t="shared" si="2"/>
        <v>2.33</v>
      </c>
      <c r="E79" s="120"/>
    </row>
    <row r="80" spans="1:5">
      <c r="A80" s="70" t="s">
        <v>25</v>
      </c>
      <c r="B80" s="66" t="s">
        <v>81</v>
      </c>
      <c r="C80" s="67">
        <f>ENCARGOS!$C36</f>
        <v>1.5E-3</v>
      </c>
      <c r="D80" s="46">
        <f t="shared" si="2"/>
        <v>8.74</v>
      </c>
      <c r="E80" s="120"/>
    </row>
    <row r="81" spans="1:5" s="37" customFormat="1">
      <c r="A81" s="94" t="s">
        <v>26</v>
      </c>
      <c r="B81" s="95" t="s">
        <v>78</v>
      </c>
      <c r="C81" s="73">
        <f>ENCARGOS!$C37</f>
        <v>2.8E-3</v>
      </c>
      <c r="D81" s="72">
        <f t="shared" si="2"/>
        <v>16.309999999999999</v>
      </c>
      <c r="E81" s="120"/>
    </row>
    <row r="82" spans="1:5">
      <c r="A82" s="70" t="s">
        <v>29</v>
      </c>
      <c r="B82" s="66" t="s">
        <v>136</v>
      </c>
      <c r="C82" s="67">
        <f>ENCARGOS!$C38</f>
        <v>2E-3</v>
      </c>
      <c r="D82" s="46">
        <f t="shared" si="2"/>
        <v>11.65</v>
      </c>
      <c r="E82" s="120"/>
    </row>
    <row r="83" spans="1:5" ht="21" thickBot="1">
      <c r="A83" s="238" t="s">
        <v>115</v>
      </c>
      <c r="B83" s="239"/>
      <c r="C83" s="102">
        <f>SUM(C77:C82)</f>
        <v>0.1066</v>
      </c>
      <c r="D83" s="103">
        <f>ROUND(SUM(D77:D82),2)</f>
        <v>621</v>
      </c>
    </row>
    <row r="84" spans="1:5">
      <c r="A84" s="92"/>
      <c r="B84" s="63"/>
      <c r="C84" s="44"/>
      <c r="D84" s="4"/>
    </row>
    <row r="85" spans="1:5">
      <c r="A85" s="14">
        <v>4</v>
      </c>
      <c r="B85" s="24" t="s">
        <v>84</v>
      </c>
      <c r="C85" s="25"/>
      <c r="D85" s="17" t="s">
        <v>18</v>
      </c>
    </row>
    <row r="86" spans="1:5">
      <c r="A86" s="92" t="s">
        <v>77</v>
      </c>
      <c r="B86" s="63" t="s">
        <v>85</v>
      </c>
      <c r="C86" s="44"/>
      <c r="D86" s="5">
        <f>D83</f>
        <v>621</v>
      </c>
    </row>
    <row r="87" spans="1:5" ht="16.2" thickBot="1">
      <c r="A87" s="94" t="s">
        <v>82</v>
      </c>
      <c r="B87" s="95" t="s">
        <v>83</v>
      </c>
      <c r="C87" s="47"/>
      <c r="D87" s="48">
        <f>D32</f>
        <v>0</v>
      </c>
    </row>
    <row r="88" spans="1:5" ht="21" thickBot="1">
      <c r="A88" s="231" t="s">
        <v>114</v>
      </c>
      <c r="B88" s="232"/>
      <c r="C88" s="234"/>
      <c r="D88" s="57">
        <f>ROUND(SUM(D86:D87),2)</f>
        <v>621</v>
      </c>
    </row>
    <row r="89" spans="1:5" s="37" customFormat="1" ht="27.75" customHeight="1" thickBot="1">
      <c r="B89" s="43"/>
    </row>
    <row r="90" spans="1:5" ht="18">
      <c r="A90" s="227" t="s">
        <v>86</v>
      </c>
      <c r="B90" s="228"/>
      <c r="C90" s="228"/>
      <c r="D90" s="41"/>
    </row>
    <row r="91" spans="1:5">
      <c r="A91" s="12">
        <v>3</v>
      </c>
      <c r="B91" s="63" t="s">
        <v>87</v>
      </c>
      <c r="C91" s="44"/>
      <c r="D91" s="27" t="s">
        <v>18</v>
      </c>
    </row>
    <row r="92" spans="1:5" ht="16.2" thickBot="1">
      <c r="A92" s="128" t="s">
        <v>19</v>
      </c>
      <c r="B92" s="233" t="s">
        <v>181</v>
      </c>
      <c r="C92" s="233"/>
      <c r="D92" s="129">
        <f>15/12</f>
        <v>1.25</v>
      </c>
      <c r="E92" s="65"/>
    </row>
    <row r="93" spans="1:5" ht="21" thickBot="1">
      <c r="A93" s="231" t="s">
        <v>115</v>
      </c>
      <c r="B93" s="232"/>
      <c r="C93" s="234"/>
      <c r="D93" s="57">
        <f>ROUND(SUM(D92:D92),2)</f>
        <v>1.25</v>
      </c>
    </row>
    <row r="94" spans="1:5" ht="18">
      <c r="A94" s="227" t="s">
        <v>88</v>
      </c>
      <c r="B94" s="228"/>
      <c r="C94" s="228"/>
      <c r="D94" s="42"/>
      <c r="E94" s="65"/>
    </row>
    <row r="95" spans="1:5">
      <c r="A95" s="12">
        <v>5</v>
      </c>
      <c r="B95" s="111" t="s">
        <v>89</v>
      </c>
      <c r="C95" s="26" t="s">
        <v>17</v>
      </c>
      <c r="D95" s="27" t="s">
        <v>18</v>
      </c>
    </row>
    <row r="96" spans="1:5">
      <c r="A96" s="93" t="s">
        <v>19</v>
      </c>
      <c r="B96" s="112" t="s">
        <v>90</v>
      </c>
      <c r="C96" s="123">
        <f>'ASSISTENTE 1'!C96</f>
        <v>0.06</v>
      </c>
      <c r="D96" s="16">
        <f>ROUND((D114)*(C96),2)</f>
        <v>661.49</v>
      </c>
      <c r="E96" s="65"/>
    </row>
    <row r="97" spans="1:10">
      <c r="A97" s="92" t="s">
        <v>20</v>
      </c>
      <c r="B97" s="111" t="s">
        <v>91</v>
      </c>
      <c r="C97" s="123">
        <v>5.1182207636161305E-2</v>
      </c>
      <c r="D97" s="5">
        <f>ROUND((D96+D114)*(C97),2)</f>
        <v>598.13</v>
      </c>
      <c r="E97" s="65"/>
    </row>
    <row r="98" spans="1:10">
      <c r="A98" s="93" t="s">
        <v>24</v>
      </c>
      <c r="B98" s="112" t="s">
        <v>92</v>
      </c>
      <c r="C98" s="73"/>
      <c r="D98" s="72"/>
      <c r="E98" s="65"/>
    </row>
    <row r="99" spans="1:10">
      <c r="A99" s="92"/>
      <c r="B99" s="111" t="s">
        <v>93</v>
      </c>
      <c r="C99" s="6"/>
      <c r="D99" s="5"/>
      <c r="E99" s="65"/>
    </row>
    <row r="100" spans="1:10">
      <c r="A100" s="93"/>
      <c r="B100" s="112" t="s">
        <v>94</v>
      </c>
      <c r="C100" s="182">
        <f>'Calculo SPED'!F16</f>
        <v>1.7202073069227553E-3</v>
      </c>
      <c r="D100" s="72">
        <f>ROUND((D114+D96+D97)*C100,2)</f>
        <v>21.13</v>
      </c>
    </row>
    <row r="101" spans="1:10">
      <c r="A101" s="92"/>
      <c r="B101" s="111" t="s">
        <v>95</v>
      </c>
      <c r="C101" s="183">
        <f>'Calculo SPED'!I16</f>
        <v>7.9584113825690948E-3</v>
      </c>
      <c r="D101" s="5">
        <f>ROUND((D114+D96+D97)*C101,2)</f>
        <v>97.76</v>
      </c>
    </row>
    <row r="102" spans="1:10">
      <c r="A102" s="93"/>
      <c r="B102" s="112" t="s">
        <v>96</v>
      </c>
      <c r="C102" s="73"/>
      <c r="D102" s="72"/>
    </row>
    <row r="103" spans="1:10">
      <c r="A103" s="92"/>
      <c r="B103" s="111" t="s">
        <v>97</v>
      </c>
      <c r="C103" s="6"/>
      <c r="D103" s="5"/>
      <c r="E103" s="65"/>
    </row>
    <row r="104" spans="1:10">
      <c r="A104" s="93"/>
      <c r="B104" s="112" t="s">
        <v>116</v>
      </c>
      <c r="C104" s="73">
        <v>0.05</v>
      </c>
      <c r="D104" s="72">
        <f>IF(C10="CURITIBA/PR",(D92+D96+D97+D100+D101)*C104,(D114+D96+D97+D100+D101+D102+D103)*C104)</f>
        <v>620.16599999999994</v>
      </c>
      <c r="E104" s="235" t="s">
        <v>129</v>
      </c>
      <c r="F104" s="235"/>
      <c r="G104" s="235"/>
      <c r="H104" s="235"/>
      <c r="I104" s="235"/>
      <c r="J104" s="235"/>
    </row>
    <row r="105" spans="1:10" ht="33" customHeight="1" thickBot="1">
      <c r="A105" s="236" t="s">
        <v>113</v>
      </c>
      <c r="B105" s="237"/>
      <c r="C105" s="61">
        <f>SUM(C96:C104)</f>
        <v>0.17086082632565314</v>
      </c>
      <c r="D105" s="29">
        <f>ROUND(SUM(D96:D104),2)</f>
        <v>1998.68</v>
      </c>
      <c r="E105" s="235"/>
      <c r="F105" s="235"/>
      <c r="G105" s="235"/>
      <c r="H105" s="235"/>
      <c r="I105" s="235"/>
      <c r="J105" s="235"/>
    </row>
    <row r="106" spans="1:10" s="37" customFormat="1" ht="27.75" customHeight="1" thickBot="1"/>
    <row r="107" spans="1:10" ht="18">
      <c r="A107" s="224" t="s">
        <v>98</v>
      </c>
      <c r="B107" s="225"/>
      <c r="C107" s="225"/>
      <c r="D107" s="226"/>
    </row>
    <row r="108" spans="1:10">
      <c r="A108" s="92"/>
      <c r="B108" s="219" t="s">
        <v>99</v>
      </c>
      <c r="C108" s="219"/>
      <c r="D108" s="113" t="s">
        <v>18</v>
      </c>
    </row>
    <row r="109" spans="1:10">
      <c r="A109" s="93" t="s">
        <v>19</v>
      </c>
      <c r="B109" s="220" t="s">
        <v>100</v>
      </c>
      <c r="C109" s="220"/>
      <c r="D109" s="72">
        <f>D34</f>
        <v>5825.53</v>
      </c>
    </row>
    <row r="110" spans="1:10">
      <c r="A110" s="92" t="s">
        <v>20</v>
      </c>
      <c r="B110" s="219" t="s">
        <v>101</v>
      </c>
      <c r="C110" s="219"/>
      <c r="D110" s="5">
        <f>D63</f>
        <v>4191.9645</v>
      </c>
    </row>
    <row r="111" spans="1:10">
      <c r="A111" s="93" t="s">
        <v>24</v>
      </c>
      <c r="B111" s="220" t="s">
        <v>102</v>
      </c>
      <c r="C111" s="220"/>
      <c r="D111" s="72">
        <f>D73</f>
        <v>385.07</v>
      </c>
    </row>
    <row r="112" spans="1:10">
      <c r="A112" s="92" t="s">
        <v>25</v>
      </c>
      <c r="B112" s="221" t="s">
        <v>103</v>
      </c>
      <c r="C112" s="221"/>
      <c r="D112" s="5">
        <f>D88</f>
        <v>621</v>
      </c>
    </row>
    <row r="113" spans="1:6">
      <c r="A113" s="93" t="s">
        <v>26</v>
      </c>
      <c r="B113" s="222" t="s">
        <v>104</v>
      </c>
      <c r="C113" s="222"/>
      <c r="D113" s="72">
        <f>D93</f>
        <v>1.25</v>
      </c>
    </row>
    <row r="114" spans="1:6">
      <c r="A114" s="92"/>
      <c r="B114" s="223" t="s">
        <v>105</v>
      </c>
      <c r="C114" s="223"/>
      <c r="D114" s="5">
        <f>ROUND(SUM(D109:D113),2)</f>
        <v>11024.81</v>
      </c>
    </row>
    <row r="115" spans="1:6">
      <c r="A115" s="93" t="s">
        <v>29</v>
      </c>
      <c r="B115" s="222" t="s">
        <v>106</v>
      </c>
      <c r="C115" s="222"/>
      <c r="D115" s="72">
        <f>D105</f>
        <v>1998.68</v>
      </c>
    </row>
    <row r="116" spans="1:6" ht="20.399999999999999">
      <c r="A116" s="229" t="s">
        <v>117</v>
      </c>
      <c r="B116" s="230"/>
      <c r="C116" s="230"/>
      <c r="D116" s="13">
        <f>D114+D115</f>
        <v>13023.49</v>
      </c>
      <c r="E116" s="65">
        <v>15004.18</v>
      </c>
    </row>
    <row r="117" spans="1:6" ht="20.399999999999999">
      <c r="A117" s="212" t="s">
        <v>118</v>
      </c>
      <c r="B117" s="213"/>
      <c r="C117" s="213"/>
      <c r="D117" s="13">
        <f>D116*C16</f>
        <v>13023.49</v>
      </c>
      <c r="E117" s="189">
        <v>0.13200899999999999</v>
      </c>
      <c r="F117" s="3" t="s">
        <v>183</v>
      </c>
    </row>
    <row r="118" spans="1:6" ht="20.399999999999999">
      <c r="A118" s="214" t="s">
        <v>119</v>
      </c>
      <c r="B118" s="215"/>
      <c r="C118" s="215"/>
      <c r="D118" s="100">
        <f>D117*C12</f>
        <v>156281.88</v>
      </c>
      <c r="E118" s="65">
        <f>E116*E117</f>
        <v>1980.6867976199999</v>
      </c>
    </row>
    <row r="119" spans="1:6" ht="18.600000000000001" thickBot="1">
      <c r="A119" s="216">
        <f>D1</f>
        <v>0</v>
      </c>
      <c r="B119" s="217"/>
      <c r="C119" s="217"/>
      <c r="D119" s="218"/>
      <c r="E119" s="65">
        <f>E116-E118</f>
        <v>13023.493202380001</v>
      </c>
      <c r="F119" s="3" t="s">
        <v>184</v>
      </c>
    </row>
    <row r="120" spans="1:6">
      <c r="B120" s="65"/>
      <c r="D120" s="65"/>
    </row>
  </sheetData>
  <mergeCells count="51">
    <mergeCell ref="A7:D7"/>
    <mergeCell ref="A1:D1"/>
    <mergeCell ref="A2:D2"/>
    <mergeCell ref="A4:D4"/>
    <mergeCell ref="A5:D5"/>
    <mergeCell ref="A6:D6"/>
    <mergeCell ref="C21:D21"/>
    <mergeCell ref="A8:D8"/>
    <mergeCell ref="C10:D10"/>
    <mergeCell ref="C11:D11"/>
    <mergeCell ref="C12:D12"/>
    <mergeCell ref="A14:D14"/>
    <mergeCell ref="C15:D15"/>
    <mergeCell ref="C16:D16"/>
    <mergeCell ref="A17:D17"/>
    <mergeCell ref="C18:D18"/>
    <mergeCell ref="C19:D19"/>
    <mergeCell ref="C20:D20"/>
    <mergeCell ref="C22:D22"/>
    <mergeCell ref="A24:D24"/>
    <mergeCell ref="A34:B34"/>
    <mergeCell ref="A36:D36"/>
    <mergeCell ref="A40:B40"/>
    <mergeCell ref="A50:B50"/>
    <mergeCell ref="A58:B58"/>
    <mergeCell ref="B59:C59"/>
    <mergeCell ref="A63:B63"/>
    <mergeCell ref="A65:C65"/>
    <mergeCell ref="A73:B73"/>
    <mergeCell ref="B92:C92"/>
    <mergeCell ref="A93:C93"/>
    <mergeCell ref="E104:J105"/>
    <mergeCell ref="A105:B105"/>
    <mergeCell ref="A83:B83"/>
    <mergeCell ref="A88:C88"/>
    <mergeCell ref="A90:C90"/>
    <mergeCell ref="A75:C75"/>
    <mergeCell ref="A107:D107"/>
    <mergeCell ref="A94:C94"/>
    <mergeCell ref="B108:C108"/>
    <mergeCell ref="A116:C116"/>
    <mergeCell ref="B109:C109"/>
    <mergeCell ref="A117:C117"/>
    <mergeCell ref="A118:C118"/>
    <mergeCell ref="A119:D119"/>
    <mergeCell ref="B110:C110"/>
    <mergeCell ref="B111:C111"/>
    <mergeCell ref="B112:C112"/>
    <mergeCell ref="B113:C113"/>
    <mergeCell ref="B114:C114"/>
    <mergeCell ref="B115:C115"/>
  </mergeCells>
  <conditionalFormatting sqref="E104:J105">
    <cfRule type="expression" dxfId="3" priority="1">
      <formula>$C$10="CURITIBA/PR"</formula>
    </cfRule>
  </conditionalFormatting>
  <pageMargins left="0.511811024" right="0.511811024" top="0.78740157499999996" bottom="0.78740157499999996" header="0.31496062000000002" footer="0.31496062000000002"/>
  <pageSetup paperSize="9" scale="64" orientation="portrait" r:id="rId1"/>
  <rowBreaks count="1" manualBreakCount="1">
    <brk id="58" max="3" man="1"/>
  </rowBreaks>
  <colBreaks count="1" manualBreakCount="1">
    <brk id="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45A20-B188-4426-A29E-4D4FDFBFCFE2}">
  <dimension ref="A1:J120"/>
  <sheetViews>
    <sheetView view="pageBreakPreview" topLeftCell="A106" zoomScale="110" zoomScaleNormal="100" zoomScaleSheetLayoutView="110" workbookViewId="0">
      <selection activeCell="D125" sqref="D125"/>
    </sheetView>
  </sheetViews>
  <sheetFormatPr defaultColWidth="9.109375" defaultRowHeight="15.6"/>
  <cols>
    <col min="1" max="1" width="3.88671875" style="3" customWidth="1"/>
    <col min="2" max="2" width="68.33203125" style="3" customWidth="1"/>
    <col min="3" max="4" width="30.33203125" style="3" customWidth="1"/>
    <col min="5" max="5" width="18.6640625" style="3" customWidth="1"/>
    <col min="6" max="6" width="15" style="3" customWidth="1"/>
    <col min="7" max="7" width="12.109375" style="3" bestFit="1" customWidth="1"/>
    <col min="8" max="8" width="9.5546875" style="3" bestFit="1" customWidth="1"/>
    <col min="9" max="16384" width="9.109375" style="3"/>
  </cols>
  <sheetData>
    <row r="1" spans="1:5" customFormat="1" ht="52.35" customHeight="1">
      <c r="A1" s="273" t="s">
        <v>152</v>
      </c>
      <c r="B1" s="274"/>
      <c r="C1" s="274"/>
      <c r="D1" s="274"/>
    </row>
    <row r="2" spans="1:5" customFormat="1" ht="31.5" customHeight="1" thickBot="1">
      <c r="A2" s="275" t="s">
        <v>153</v>
      </c>
      <c r="B2" s="276"/>
      <c r="C2" s="276"/>
      <c r="D2" s="276"/>
    </row>
    <row r="3" spans="1:5" customFormat="1" ht="15" customHeight="1" thickBot="1"/>
    <row r="4" spans="1:5" ht="21" thickBot="1">
      <c r="A4" s="277" t="s">
        <v>167</v>
      </c>
      <c r="B4" s="278"/>
      <c r="C4" s="278"/>
      <c r="D4" s="279"/>
    </row>
    <row r="5" spans="1:5">
      <c r="A5" s="280" t="s">
        <v>3</v>
      </c>
      <c r="B5" s="281"/>
      <c r="C5" s="281"/>
      <c r="D5" s="282"/>
    </row>
    <row r="6" spans="1:5">
      <c r="A6" s="283" t="s">
        <v>160</v>
      </c>
      <c r="B6" s="284"/>
      <c r="C6" s="284"/>
      <c r="D6" s="285"/>
    </row>
    <row r="7" spans="1:5">
      <c r="A7" s="270" t="s">
        <v>161</v>
      </c>
      <c r="B7" s="271"/>
      <c r="C7" s="271"/>
      <c r="D7" s="272"/>
    </row>
    <row r="8" spans="1:5">
      <c r="A8" s="251" t="s">
        <v>164</v>
      </c>
      <c r="B8" s="252"/>
      <c r="C8" s="252"/>
      <c r="D8" s="253"/>
    </row>
    <row r="9" spans="1:5">
      <c r="A9" s="92"/>
      <c r="B9" s="63" t="s">
        <v>151</v>
      </c>
      <c r="C9" s="19"/>
      <c r="D9" s="18"/>
    </row>
    <row r="10" spans="1:5">
      <c r="A10" s="93"/>
      <c r="B10" s="112" t="s">
        <v>4</v>
      </c>
      <c r="C10" s="254" t="s">
        <v>162</v>
      </c>
      <c r="D10" s="255"/>
    </row>
    <row r="11" spans="1:5">
      <c r="A11" s="92"/>
      <c r="B11" s="111" t="s">
        <v>5</v>
      </c>
      <c r="C11" s="254" t="s">
        <v>188</v>
      </c>
      <c r="D11" s="255"/>
    </row>
    <row r="12" spans="1:5">
      <c r="A12" s="93"/>
      <c r="B12" s="112" t="s">
        <v>6</v>
      </c>
      <c r="C12" s="254">
        <v>12</v>
      </c>
      <c r="D12" s="255"/>
    </row>
    <row r="13" spans="1:5">
      <c r="A13" s="9"/>
      <c r="B13" s="10"/>
      <c r="C13" s="10"/>
      <c r="D13" s="11"/>
    </row>
    <row r="14" spans="1:5">
      <c r="A14" s="256" t="s">
        <v>7</v>
      </c>
      <c r="B14" s="257"/>
      <c r="C14" s="257"/>
      <c r="D14" s="258"/>
    </row>
    <row r="15" spans="1:5">
      <c r="A15" s="92"/>
      <c r="B15" s="111" t="s">
        <v>8</v>
      </c>
      <c r="C15" s="259" t="s">
        <v>149</v>
      </c>
      <c r="D15" s="260"/>
      <c r="E15" s="65"/>
    </row>
    <row r="16" spans="1:5">
      <c r="A16" s="92"/>
      <c r="B16" s="111" t="s">
        <v>9</v>
      </c>
      <c r="C16" s="259">
        <v>1</v>
      </c>
      <c r="D16" s="260"/>
    </row>
    <row r="17" spans="1:6">
      <c r="A17" s="261" t="s">
        <v>10</v>
      </c>
      <c r="B17" s="262"/>
      <c r="C17" s="262"/>
      <c r="D17" s="263"/>
    </row>
    <row r="18" spans="1:6">
      <c r="A18" s="12">
        <v>1</v>
      </c>
      <c r="B18" s="111" t="s">
        <v>11</v>
      </c>
      <c r="C18" s="264"/>
      <c r="D18" s="265"/>
    </row>
    <row r="19" spans="1:6">
      <c r="A19" s="14">
        <v>2</v>
      </c>
      <c r="B19" s="112" t="s">
        <v>12</v>
      </c>
      <c r="C19" s="266"/>
      <c r="D19" s="267"/>
    </row>
    <row r="20" spans="1:6">
      <c r="A20" s="12">
        <v>3</v>
      </c>
      <c r="B20" s="111" t="s">
        <v>122</v>
      </c>
      <c r="C20" s="268">
        <v>8063.89</v>
      </c>
      <c r="D20" s="269"/>
      <c r="E20" s="65"/>
    </row>
    <row r="21" spans="1:6">
      <c r="A21" s="14">
        <v>4</v>
      </c>
      <c r="B21" s="112" t="s">
        <v>13</v>
      </c>
      <c r="C21" s="249" t="str">
        <f>A4</f>
        <v>ANALISTA II</v>
      </c>
      <c r="D21" s="250"/>
      <c r="E21" s="65"/>
    </row>
    <row r="22" spans="1:6" ht="16.2" thickBot="1">
      <c r="A22" s="38">
        <v>5</v>
      </c>
      <c r="B22" s="39" t="s">
        <v>14</v>
      </c>
      <c r="C22" s="247">
        <v>44986</v>
      </c>
      <c r="D22" s="248"/>
    </row>
    <row r="23" spans="1:6" s="37" customFormat="1" ht="16.2" thickBot="1">
      <c r="B23" s="64"/>
      <c r="C23" s="64"/>
      <c r="F23" s="64"/>
    </row>
    <row r="24" spans="1:6" ht="18">
      <c r="A24" s="224" t="s">
        <v>15</v>
      </c>
      <c r="B24" s="225"/>
      <c r="C24" s="225"/>
      <c r="D24" s="226"/>
      <c r="E24" s="65"/>
    </row>
    <row r="25" spans="1:6">
      <c r="A25" s="12">
        <v>1</v>
      </c>
      <c r="B25" s="111" t="s">
        <v>16</v>
      </c>
      <c r="C25" s="110" t="s">
        <v>148</v>
      </c>
      <c r="D25" s="113" t="s">
        <v>18</v>
      </c>
      <c r="E25" s="65"/>
    </row>
    <row r="26" spans="1:6">
      <c r="A26" s="93" t="s">
        <v>19</v>
      </c>
      <c r="B26" s="126" t="str">
        <f>"Salário Base "&amp;C26&amp;" horas semanais"</f>
        <v>Salário Base 40 horas semanais</v>
      </c>
      <c r="C26" s="122">
        <v>40</v>
      </c>
      <c r="D26" s="72">
        <f>ROUND((C20/40)*C26,2)</f>
        <v>8063.89</v>
      </c>
      <c r="E26" s="65"/>
    </row>
    <row r="27" spans="1:6">
      <c r="A27" s="92" t="s">
        <v>20</v>
      </c>
      <c r="B27" s="111" t="s">
        <v>143</v>
      </c>
      <c r="C27" s="121">
        <v>0</v>
      </c>
      <c r="D27" s="124">
        <f>ROUND(C27*1320,2)</f>
        <v>0</v>
      </c>
      <c r="E27" s="65"/>
    </row>
    <row r="28" spans="1:6">
      <c r="A28" s="93" t="s">
        <v>24</v>
      </c>
      <c r="B28" s="112" t="s">
        <v>21</v>
      </c>
      <c r="C28" s="121">
        <v>0</v>
      </c>
      <c r="D28" s="124">
        <f>ROUND((D26*C28),2)</f>
        <v>0</v>
      </c>
    </row>
    <row r="29" spans="1:6">
      <c r="A29" s="92" t="s">
        <v>25</v>
      </c>
      <c r="B29" s="111" t="s">
        <v>22</v>
      </c>
      <c r="C29" s="121">
        <v>0</v>
      </c>
      <c r="D29" s="5">
        <v>0</v>
      </c>
    </row>
    <row r="30" spans="1:6">
      <c r="A30" s="93" t="s">
        <v>26</v>
      </c>
      <c r="B30" s="112" t="s">
        <v>23</v>
      </c>
      <c r="C30" s="121">
        <v>0</v>
      </c>
      <c r="D30" s="72">
        <v>0</v>
      </c>
    </row>
    <row r="31" spans="1:6">
      <c r="A31" s="92" t="s">
        <v>29</v>
      </c>
      <c r="B31" s="111" t="s">
        <v>27</v>
      </c>
      <c r="C31" s="121">
        <v>0</v>
      </c>
      <c r="D31" s="5">
        <v>0</v>
      </c>
    </row>
    <row r="32" spans="1:6">
      <c r="A32" s="93" t="s">
        <v>30</v>
      </c>
      <c r="B32" s="112" t="s">
        <v>28</v>
      </c>
      <c r="C32" s="121">
        <v>0</v>
      </c>
      <c r="D32" s="124">
        <f>ROUND((C20*C32)/180*15,2)*15</f>
        <v>0</v>
      </c>
    </row>
    <row r="33" spans="1:9" ht="16.2" thickBot="1">
      <c r="A33" s="54" t="s">
        <v>31</v>
      </c>
      <c r="B33" s="58" t="s">
        <v>155</v>
      </c>
      <c r="C33" s="59" t="s">
        <v>156</v>
      </c>
      <c r="D33" s="55"/>
    </row>
    <row r="34" spans="1:9" ht="21" thickBot="1">
      <c r="A34" s="231" t="s">
        <v>110</v>
      </c>
      <c r="B34" s="234"/>
      <c r="C34" s="56"/>
      <c r="D34" s="57">
        <f>ROUND(SUM(D26:D33),2)</f>
        <v>8063.89</v>
      </c>
      <c r="E34" s="120"/>
      <c r="G34" s="65"/>
      <c r="H34" s="65"/>
    </row>
    <row r="35" spans="1:9" s="37" customFormat="1" ht="16.2" thickBot="1">
      <c r="B35" s="64"/>
      <c r="C35" s="64"/>
      <c r="G35" s="64"/>
    </row>
    <row r="36" spans="1:9" ht="18">
      <c r="A36" s="224" t="s">
        <v>33</v>
      </c>
      <c r="B36" s="225"/>
      <c r="C36" s="225"/>
      <c r="D36" s="226"/>
      <c r="G36" s="99"/>
    </row>
    <row r="37" spans="1:9">
      <c r="A37" s="92" t="s">
        <v>34</v>
      </c>
      <c r="B37" s="63" t="s">
        <v>35</v>
      </c>
      <c r="C37" s="111"/>
      <c r="D37" s="27" t="s">
        <v>18</v>
      </c>
      <c r="G37" s="65"/>
    </row>
    <row r="38" spans="1:9">
      <c r="A38" s="93" t="s">
        <v>19</v>
      </c>
      <c r="B38" s="62" t="s">
        <v>58</v>
      </c>
      <c r="C38" s="73">
        <f>ENCARGOS!$C$10</f>
        <v>8.3299999999999999E-2</v>
      </c>
      <c r="D38" s="72">
        <f>ROUND(($D$34*ENCARGOS!$C$10),2)</f>
        <v>671.72</v>
      </c>
      <c r="I38" s="99"/>
    </row>
    <row r="39" spans="1:9" s="37" customFormat="1">
      <c r="A39" s="70" t="s">
        <v>20</v>
      </c>
      <c r="B39" s="66" t="s">
        <v>59</v>
      </c>
      <c r="C39" s="67">
        <f>ENCARGOS!C11</f>
        <v>2.7799999999999998E-2</v>
      </c>
      <c r="D39" s="46">
        <f>ROUND(($D$34*ENCARGOS!$C11),2)</f>
        <v>224.18</v>
      </c>
    </row>
    <row r="40" spans="1:9" ht="21" thickBot="1">
      <c r="A40" s="242" t="s">
        <v>115</v>
      </c>
      <c r="B40" s="244"/>
      <c r="C40" s="61">
        <f>SUM(C38:C39)</f>
        <v>0.1111</v>
      </c>
      <c r="D40" s="29">
        <f>ROUND(SUM(D38:D39),2)</f>
        <v>895.9</v>
      </c>
    </row>
    <row r="41" spans="1:9" ht="31.2">
      <c r="A41" s="30" t="s">
        <v>60</v>
      </c>
      <c r="B41" s="31" t="s">
        <v>120</v>
      </c>
      <c r="C41" s="32" t="s">
        <v>17</v>
      </c>
      <c r="D41" s="33" t="s">
        <v>18</v>
      </c>
      <c r="E41" s="98"/>
    </row>
    <row r="42" spans="1:9">
      <c r="A42" s="93" t="s">
        <v>19</v>
      </c>
      <c r="B42" s="112" t="s">
        <v>2</v>
      </c>
      <c r="C42" s="73">
        <f>ENCARGOS!$C$14</f>
        <v>0.2</v>
      </c>
      <c r="D42" s="72">
        <f>($D$34+$D$40)*C42</f>
        <v>1791.9580000000003</v>
      </c>
      <c r="E42" s="65"/>
      <c r="F42" s="98"/>
    </row>
    <row r="43" spans="1:9" s="37" customFormat="1">
      <c r="A43" s="70" t="s">
        <v>20</v>
      </c>
      <c r="B43" s="71" t="s">
        <v>61</v>
      </c>
      <c r="C43" s="67">
        <f>ENCARGOS!$C$15</f>
        <v>2.5000000000000001E-2</v>
      </c>
      <c r="D43" s="46">
        <f t="shared" ref="D43:D49" si="0">($D$34+$D$40)*C43</f>
        <v>223.99475000000004</v>
      </c>
      <c r="E43" s="65"/>
    </row>
    <row r="44" spans="1:9">
      <c r="A44" s="93" t="s">
        <v>24</v>
      </c>
      <c r="B44" s="112" t="s">
        <v>62</v>
      </c>
      <c r="C44" s="73">
        <f>ENCARGOS!$C$16</f>
        <v>0.02</v>
      </c>
      <c r="D44" s="72">
        <f t="shared" si="0"/>
        <v>179.19580000000002</v>
      </c>
      <c r="E44" s="65"/>
    </row>
    <row r="45" spans="1:9" s="37" customFormat="1">
      <c r="A45" s="70" t="s">
        <v>25</v>
      </c>
      <c r="B45" s="71" t="s">
        <v>63</v>
      </c>
      <c r="C45" s="67">
        <f>ENCARGOS!$C$17</f>
        <v>1.4999999999999999E-2</v>
      </c>
      <c r="D45" s="46">
        <f t="shared" si="0"/>
        <v>134.39685</v>
      </c>
      <c r="E45" s="65"/>
    </row>
    <row r="46" spans="1:9">
      <c r="A46" s="93" t="s">
        <v>26</v>
      </c>
      <c r="B46" s="112" t="s">
        <v>64</v>
      </c>
      <c r="C46" s="73">
        <f>ENCARGOS!$C$18</f>
        <v>0.01</v>
      </c>
      <c r="D46" s="72">
        <f t="shared" si="0"/>
        <v>89.59790000000001</v>
      </c>
      <c r="E46" s="65"/>
    </row>
    <row r="47" spans="1:9" s="37" customFormat="1">
      <c r="A47" s="70" t="s">
        <v>29</v>
      </c>
      <c r="B47" s="71" t="s">
        <v>65</v>
      </c>
      <c r="C47" s="67">
        <f>ENCARGOS!$C$19</f>
        <v>6.0000000000000001E-3</v>
      </c>
      <c r="D47" s="46">
        <f t="shared" si="0"/>
        <v>53.758740000000003</v>
      </c>
      <c r="E47" s="65"/>
    </row>
    <row r="48" spans="1:9">
      <c r="A48" s="93" t="s">
        <v>30</v>
      </c>
      <c r="B48" s="112" t="s">
        <v>66</v>
      </c>
      <c r="C48" s="73">
        <f>ENCARGOS!$C$20</f>
        <v>2E-3</v>
      </c>
      <c r="D48" s="72">
        <f t="shared" si="0"/>
        <v>17.919580000000003</v>
      </c>
      <c r="E48" s="65"/>
    </row>
    <row r="49" spans="1:7" s="37" customFormat="1">
      <c r="A49" s="70" t="s">
        <v>31</v>
      </c>
      <c r="B49" s="71" t="s">
        <v>1</v>
      </c>
      <c r="C49" s="67">
        <f>ENCARGOS!$C$21</f>
        <v>0.08</v>
      </c>
      <c r="D49" s="46">
        <f t="shared" si="0"/>
        <v>716.78320000000008</v>
      </c>
      <c r="E49" s="65"/>
    </row>
    <row r="50" spans="1:7" ht="21" thickBot="1">
      <c r="A50" s="242" t="s">
        <v>115</v>
      </c>
      <c r="B50" s="243"/>
      <c r="C50" s="61">
        <f>SUM(C42:C49)</f>
        <v>0.35800000000000004</v>
      </c>
      <c r="D50" s="29">
        <f>SUM(D42:D49)</f>
        <v>3207.6048200000014</v>
      </c>
      <c r="E50" s="65"/>
      <c r="F50" s="65"/>
      <c r="G50" s="97"/>
    </row>
    <row r="51" spans="1:7">
      <c r="A51" s="30" t="s">
        <v>54</v>
      </c>
      <c r="B51" s="34" t="s">
        <v>55</v>
      </c>
      <c r="C51" s="32" t="s">
        <v>17</v>
      </c>
      <c r="D51" s="33" t="s">
        <v>18</v>
      </c>
    </row>
    <row r="52" spans="1:7">
      <c r="A52" s="93" t="s">
        <v>19</v>
      </c>
      <c r="B52" s="127" t="s">
        <v>67</v>
      </c>
      <c r="C52" s="123">
        <v>0</v>
      </c>
      <c r="D52" s="124">
        <f>ROUND((0*2*22)-((-1*C52)*D26),2)</f>
        <v>0</v>
      </c>
      <c r="F52" s="65"/>
    </row>
    <row r="53" spans="1:7">
      <c r="A53" s="92" t="s">
        <v>20</v>
      </c>
      <c r="B53" s="127" t="s">
        <v>144</v>
      </c>
      <c r="C53" s="125">
        <v>0</v>
      </c>
      <c r="D53" s="124">
        <f>ROUND((756*1)*(100%+C53),2)</f>
        <v>756</v>
      </c>
      <c r="F53" s="65"/>
    </row>
    <row r="54" spans="1:7">
      <c r="A54" s="92" t="s">
        <v>24</v>
      </c>
      <c r="B54" s="66" t="s">
        <v>180</v>
      </c>
      <c r="C54" s="193"/>
      <c r="D54" s="46">
        <v>371</v>
      </c>
      <c r="E54" s="65"/>
      <c r="F54" s="97"/>
    </row>
    <row r="55" spans="1:7">
      <c r="A55" s="92" t="s">
        <v>25</v>
      </c>
      <c r="B55" s="63" t="s">
        <v>185</v>
      </c>
      <c r="C55" s="6"/>
      <c r="D55" s="5">
        <v>75.5</v>
      </c>
      <c r="E55" s="65"/>
      <c r="F55" s="65"/>
    </row>
    <row r="56" spans="1:7">
      <c r="A56" s="130" t="s">
        <v>26</v>
      </c>
      <c r="B56" s="63" t="s">
        <v>186</v>
      </c>
      <c r="C56" s="6"/>
      <c r="D56" s="131">
        <v>25</v>
      </c>
      <c r="E56" s="65"/>
      <c r="F56" s="65"/>
    </row>
    <row r="57" spans="1:7">
      <c r="A57" s="92" t="s">
        <v>29</v>
      </c>
      <c r="B57" s="63" t="s">
        <v>187</v>
      </c>
      <c r="C57" s="6"/>
      <c r="D57" s="5"/>
      <c r="E57" s="65"/>
      <c r="F57" s="65"/>
    </row>
    <row r="58" spans="1:7" ht="21" thickBot="1">
      <c r="A58" s="242" t="s">
        <v>115</v>
      </c>
      <c r="B58" s="244"/>
      <c r="C58" s="28"/>
      <c r="D58" s="29">
        <f>SUM(D52:D57)</f>
        <v>1227.5</v>
      </c>
    </row>
    <row r="59" spans="1:7" ht="15.75" customHeight="1">
      <c r="A59" s="35">
        <v>2</v>
      </c>
      <c r="B59" s="245" t="s">
        <v>68</v>
      </c>
      <c r="C59" s="246"/>
      <c r="D59" s="36" t="s">
        <v>18</v>
      </c>
    </row>
    <row r="60" spans="1:7">
      <c r="A60" s="15" t="s">
        <v>34</v>
      </c>
      <c r="B60" s="20" t="s">
        <v>35</v>
      </c>
      <c r="C60" s="22"/>
      <c r="D60" s="16">
        <f>D40</f>
        <v>895.9</v>
      </c>
    </row>
    <row r="61" spans="1:7">
      <c r="A61" s="7" t="s">
        <v>60</v>
      </c>
      <c r="B61" s="21" t="s">
        <v>69</v>
      </c>
      <c r="C61" s="23"/>
      <c r="D61" s="8">
        <f>D50</f>
        <v>3207.6048200000014</v>
      </c>
    </row>
    <row r="62" spans="1:7" ht="16.2" thickBot="1">
      <c r="A62" s="50" t="s">
        <v>54</v>
      </c>
      <c r="B62" s="51" t="s">
        <v>55</v>
      </c>
      <c r="C62" s="52"/>
      <c r="D62" s="53">
        <f>D58</f>
        <v>1227.5</v>
      </c>
    </row>
    <row r="63" spans="1:7" ht="21" thickBot="1">
      <c r="A63" s="231" t="s">
        <v>111</v>
      </c>
      <c r="B63" s="232"/>
      <c r="C63" s="49"/>
      <c r="D63" s="57">
        <f>SUM(D60:D62)</f>
        <v>5331.004820000001</v>
      </c>
    </row>
    <row r="64" spans="1:7" s="37" customFormat="1" ht="16.2" thickBot="1"/>
    <row r="65" spans="1:5" ht="18">
      <c r="A65" s="240" t="s">
        <v>70</v>
      </c>
      <c r="B65" s="241"/>
      <c r="C65" s="241"/>
      <c r="D65" s="40"/>
    </row>
    <row r="66" spans="1:5">
      <c r="A66" s="12">
        <v>3</v>
      </c>
      <c r="B66" s="63" t="s">
        <v>71</v>
      </c>
      <c r="C66" s="45" t="s">
        <v>17</v>
      </c>
      <c r="D66" s="27" t="s">
        <v>18</v>
      </c>
    </row>
    <row r="67" spans="1:5">
      <c r="A67" s="93" t="s">
        <v>19</v>
      </c>
      <c r="B67" s="62" t="s">
        <v>72</v>
      </c>
      <c r="C67" s="73">
        <f>ENCARGOS!C24</f>
        <v>4.1999999999999997E-3</v>
      </c>
      <c r="D67" s="72">
        <f>C67*$D$34</f>
        <v>33.868338000000001</v>
      </c>
    </row>
    <row r="68" spans="1:5">
      <c r="A68" s="92" t="s">
        <v>20</v>
      </c>
      <c r="B68" s="66" t="s">
        <v>73</v>
      </c>
      <c r="C68" s="67">
        <f>ENCARGOS!C25</f>
        <v>2.9999999999999997E-4</v>
      </c>
      <c r="D68" s="5">
        <f t="shared" ref="D68:D72" si="1">C68*$D$34</f>
        <v>2.4191669999999998</v>
      </c>
    </row>
    <row r="69" spans="1:5">
      <c r="A69" s="93" t="s">
        <v>24</v>
      </c>
      <c r="B69" s="62" t="s">
        <v>146</v>
      </c>
      <c r="C69" s="73">
        <f>ENCARGOS!C26</f>
        <v>3.44E-2</v>
      </c>
      <c r="D69" s="72">
        <f t="shared" si="1"/>
        <v>277.39781600000003</v>
      </c>
    </row>
    <row r="70" spans="1:5">
      <c r="A70" s="92" t="s">
        <v>25</v>
      </c>
      <c r="B70" s="66" t="s">
        <v>74</v>
      </c>
      <c r="C70" s="67">
        <f>ENCARGOS!C27</f>
        <v>1.9400000000000001E-2</v>
      </c>
      <c r="D70" s="5">
        <f t="shared" si="1"/>
        <v>156.43946600000001</v>
      </c>
    </row>
    <row r="71" spans="1:5">
      <c r="A71" s="93" t="s">
        <v>26</v>
      </c>
      <c r="B71" s="62" t="s">
        <v>75</v>
      </c>
      <c r="C71" s="73">
        <f>ENCARGOS!C28</f>
        <v>7.1999999999999998E-3</v>
      </c>
      <c r="D71" s="72">
        <f t="shared" si="1"/>
        <v>58.060008000000003</v>
      </c>
    </row>
    <row r="72" spans="1:5" ht="16.2" thickBot="1">
      <c r="A72" s="54" t="s">
        <v>29</v>
      </c>
      <c r="B72" s="68" t="s">
        <v>147</v>
      </c>
      <c r="C72" s="69">
        <f>ENCARGOS!C29</f>
        <v>5.9999999999999995E-4</v>
      </c>
      <c r="D72" s="5">
        <f t="shared" si="1"/>
        <v>4.8383339999999997</v>
      </c>
    </row>
    <row r="73" spans="1:5" ht="21" thickBot="1">
      <c r="A73" s="231" t="s">
        <v>112</v>
      </c>
      <c r="B73" s="232"/>
      <c r="C73" s="60">
        <f>SUM(C67:C72)</f>
        <v>6.6100000000000006E-2</v>
      </c>
      <c r="D73" s="57">
        <f>ROUND(SUM(D67:D72),2)</f>
        <v>533.02</v>
      </c>
    </row>
    <row r="74" spans="1:5" s="37" customFormat="1" ht="27.75" customHeight="1" thickBot="1">
      <c r="D74" s="64"/>
    </row>
    <row r="75" spans="1:5" ht="18">
      <c r="A75" s="240" t="s">
        <v>76</v>
      </c>
      <c r="B75" s="241"/>
      <c r="C75" s="241"/>
      <c r="D75" s="40"/>
    </row>
    <row r="76" spans="1:5">
      <c r="A76" s="92" t="s">
        <v>77</v>
      </c>
      <c r="B76" s="63" t="s">
        <v>78</v>
      </c>
      <c r="C76" s="26" t="s">
        <v>17</v>
      </c>
      <c r="D76" s="27" t="s">
        <v>18</v>
      </c>
    </row>
    <row r="77" spans="1:5">
      <c r="A77" s="93" t="s">
        <v>19</v>
      </c>
      <c r="B77" s="62" t="s">
        <v>79</v>
      </c>
      <c r="C77" s="73">
        <f>ENCARGOS!$C33</f>
        <v>8.3299999999999999E-2</v>
      </c>
      <c r="D77" s="72">
        <f t="shared" ref="D77:D82" si="2">ROUND(($D$34*C77),2)</f>
        <v>671.72</v>
      </c>
      <c r="E77" s="120"/>
    </row>
    <row r="78" spans="1:5">
      <c r="A78" s="70" t="s">
        <v>20</v>
      </c>
      <c r="B78" s="66" t="s">
        <v>135</v>
      </c>
      <c r="C78" s="67">
        <f>ENCARGOS!$C34</f>
        <v>1.66E-2</v>
      </c>
      <c r="D78" s="46">
        <f t="shared" si="2"/>
        <v>133.86000000000001</v>
      </c>
      <c r="E78" s="120"/>
    </row>
    <row r="79" spans="1:5" s="37" customFormat="1">
      <c r="A79" s="93" t="s">
        <v>24</v>
      </c>
      <c r="B79" s="62" t="s">
        <v>80</v>
      </c>
      <c r="C79" s="73">
        <f>ENCARGOS!$C35</f>
        <v>4.0000000000000002E-4</v>
      </c>
      <c r="D79" s="72">
        <f t="shared" si="2"/>
        <v>3.23</v>
      </c>
      <c r="E79" s="120"/>
    </row>
    <row r="80" spans="1:5">
      <c r="A80" s="70" t="s">
        <v>25</v>
      </c>
      <c r="B80" s="66" t="s">
        <v>81</v>
      </c>
      <c r="C80" s="67">
        <f>ENCARGOS!$C36</f>
        <v>1.5E-3</v>
      </c>
      <c r="D80" s="46">
        <f t="shared" si="2"/>
        <v>12.1</v>
      </c>
      <c r="E80" s="120"/>
    </row>
    <row r="81" spans="1:5" s="37" customFormat="1">
      <c r="A81" s="94" t="s">
        <v>26</v>
      </c>
      <c r="B81" s="95" t="s">
        <v>78</v>
      </c>
      <c r="C81" s="73">
        <f>ENCARGOS!$C37</f>
        <v>2.8E-3</v>
      </c>
      <c r="D81" s="72">
        <f t="shared" si="2"/>
        <v>22.58</v>
      </c>
      <c r="E81" s="120"/>
    </row>
    <row r="82" spans="1:5">
      <c r="A82" s="70" t="s">
        <v>29</v>
      </c>
      <c r="B82" s="66" t="s">
        <v>136</v>
      </c>
      <c r="C82" s="67">
        <f>ENCARGOS!$C38</f>
        <v>2E-3</v>
      </c>
      <c r="D82" s="46">
        <f t="shared" si="2"/>
        <v>16.13</v>
      </c>
      <c r="E82" s="120"/>
    </row>
    <row r="83" spans="1:5" ht="21" thickBot="1">
      <c r="A83" s="238" t="s">
        <v>115</v>
      </c>
      <c r="B83" s="239"/>
      <c r="C83" s="102">
        <f>SUM(C77:C82)</f>
        <v>0.1066</v>
      </c>
      <c r="D83" s="103">
        <f>ROUND(SUM(D77:D82),2)</f>
        <v>859.62</v>
      </c>
    </row>
    <row r="84" spans="1:5">
      <c r="A84" s="92"/>
      <c r="B84" s="63"/>
      <c r="C84" s="44"/>
      <c r="D84" s="4"/>
    </row>
    <row r="85" spans="1:5">
      <c r="A85" s="14">
        <v>4</v>
      </c>
      <c r="B85" s="24" t="s">
        <v>84</v>
      </c>
      <c r="C85" s="25"/>
      <c r="D85" s="17" t="s">
        <v>18</v>
      </c>
    </row>
    <row r="86" spans="1:5">
      <c r="A86" s="92" t="s">
        <v>77</v>
      </c>
      <c r="B86" s="63" t="s">
        <v>85</v>
      </c>
      <c r="C86" s="44"/>
      <c r="D86" s="5">
        <f>D83</f>
        <v>859.62</v>
      </c>
    </row>
    <row r="87" spans="1:5" ht="16.2" thickBot="1">
      <c r="A87" s="94" t="s">
        <v>82</v>
      </c>
      <c r="B87" s="95" t="s">
        <v>83</v>
      </c>
      <c r="C87" s="47"/>
      <c r="D87" s="48">
        <f>D32</f>
        <v>0</v>
      </c>
    </row>
    <row r="88" spans="1:5" ht="21" thickBot="1">
      <c r="A88" s="231" t="s">
        <v>114</v>
      </c>
      <c r="B88" s="232"/>
      <c r="C88" s="234"/>
      <c r="D88" s="57">
        <f>ROUND(SUM(D86:D87),2)</f>
        <v>859.62</v>
      </c>
    </row>
    <row r="89" spans="1:5" s="37" customFormat="1" ht="27.75" customHeight="1" thickBot="1">
      <c r="B89" s="43"/>
    </row>
    <row r="90" spans="1:5" ht="18">
      <c r="A90" s="227" t="s">
        <v>86</v>
      </c>
      <c r="B90" s="228"/>
      <c r="C90" s="228"/>
      <c r="D90" s="41"/>
    </row>
    <row r="91" spans="1:5">
      <c r="A91" s="12">
        <v>3</v>
      </c>
      <c r="B91" s="63" t="s">
        <v>87</v>
      </c>
      <c r="C91" s="44"/>
      <c r="D91" s="27" t="s">
        <v>18</v>
      </c>
    </row>
    <row r="92" spans="1:5" ht="16.2" thickBot="1">
      <c r="A92" s="128" t="s">
        <v>19</v>
      </c>
      <c r="B92" s="233" t="s">
        <v>182</v>
      </c>
      <c r="C92" s="233"/>
      <c r="D92" s="129">
        <f>15/12</f>
        <v>1.25</v>
      </c>
      <c r="E92" s="65"/>
    </row>
    <row r="93" spans="1:5" ht="21" thickBot="1">
      <c r="A93" s="231" t="s">
        <v>115</v>
      </c>
      <c r="B93" s="232"/>
      <c r="C93" s="234"/>
      <c r="D93" s="57">
        <f>ROUND(SUM(D92:D92),2)</f>
        <v>1.25</v>
      </c>
    </row>
    <row r="94" spans="1:5" ht="18">
      <c r="A94" s="227" t="s">
        <v>88</v>
      </c>
      <c r="B94" s="228"/>
      <c r="C94" s="228"/>
      <c r="D94" s="42"/>
      <c r="E94" s="65"/>
    </row>
    <row r="95" spans="1:5">
      <c r="A95" s="12">
        <v>5</v>
      </c>
      <c r="B95" s="111" t="s">
        <v>89</v>
      </c>
      <c r="C95" s="26" t="s">
        <v>17</v>
      </c>
      <c r="D95" s="27" t="s">
        <v>18</v>
      </c>
    </row>
    <row r="96" spans="1:5">
      <c r="A96" s="93" t="s">
        <v>19</v>
      </c>
      <c r="B96" s="112" t="s">
        <v>90</v>
      </c>
      <c r="C96" s="123">
        <f>'ASSISTENTE 1'!C96</f>
        <v>0.06</v>
      </c>
      <c r="D96" s="16">
        <f>ROUND((D114)*(C96),2)</f>
        <v>887.33</v>
      </c>
      <c r="E96" s="65"/>
    </row>
    <row r="97" spans="1:10">
      <c r="A97" s="92" t="s">
        <v>20</v>
      </c>
      <c r="B97" s="111" t="s">
        <v>91</v>
      </c>
      <c r="C97" s="123">
        <v>3.8767131912757068E-2</v>
      </c>
      <c r="D97" s="5">
        <f>ROUND((D96+D114)*(C97),2)</f>
        <v>607.72</v>
      </c>
      <c r="E97" s="65"/>
    </row>
    <row r="98" spans="1:10">
      <c r="A98" s="93" t="s">
        <v>24</v>
      </c>
      <c r="B98" s="112" t="s">
        <v>92</v>
      </c>
      <c r="C98" s="73"/>
      <c r="D98" s="72"/>
      <c r="E98" s="65"/>
    </row>
    <row r="99" spans="1:10">
      <c r="A99" s="92"/>
      <c r="B99" s="111" t="s">
        <v>93</v>
      </c>
      <c r="C99" s="6"/>
      <c r="D99" s="5"/>
      <c r="E99" s="65"/>
    </row>
    <row r="100" spans="1:10">
      <c r="A100" s="93"/>
      <c r="B100" s="112" t="s">
        <v>94</v>
      </c>
      <c r="C100" s="182">
        <f>'Calculo SPED'!F16</f>
        <v>1.7202073069227553E-3</v>
      </c>
      <c r="D100" s="72">
        <f>ROUND((D114+D96+D97)*C100,2)</f>
        <v>28.01</v>
      </c>
    </row>
    <row r="101" spans="1:10">
      <c r="A101" s="92"/>
      <c r="B101" s="111" t="s">
        <v>95</v>
      </c>
      <c r="C101" s="183">
        <f>'Calculo SPED'!I16</f>
        <v>7.9584113825690948E-3</v>
      </c>
      <c r="D101" s="5">
        <f>ROUND((D114+D96+D97)*C101,2)</f>
        <v>129.59</v>
      </c>
    </row>
    <row r="102" spans="1:10">
      <c r="A102" s="93"/>
      <c r="B102" s="112" t="s">
        <v>96</v>
      </c>
      <c r="C102" s="73"/>
      <c r="D102" s="72"/>
    </row>
    <row r="103" spans="1:10">
      <c r="A103" s="92"/>
      <c r="B103" s="111" t="s">
        <v>97</v>
      </c>
      <c r="C103" s="6"/>
      <c r="D103" s="5"/>
      <c r="E103" s="65"/>
    </row>
    <row r="104" spans="1:10">
      <c r="A104" s="93"/>
      <c r="B104" s="112" t="s">
        <v>116</v>
      </c>
      <c r="C104" s="73">
        <v>0.05</v>
      </c>
      <c r="D104" s="72">
        <f>IF(C10="CURITIBA/PR",(D92+D96+D97+D100+D101)*C104,(D114+D96+D97+D100+D101+D102+D103)*C104)</f>
        <v>822.07150000000001</v>
      </c>
      <c r="E104" s="235" t="s">
        <v>129</v>
      </c>
      <c r="F104" s="235"/>
      <c r="G104" s="235"/>
      <c r="H104" s="235"/>
      <c r="I104" s="235"/>
      <c r="J104" s="235"/>
    </row>
    <row r="105" spans="1:10" ht="33" customHeight="1" thickBot="1">
      <c r="A105" s="236" t="s">
        <v>113</v>
      </c>
      <c r="B105" s="237"/>
      <c r="C105" s="61">
        <f>SUM(C96:C104)</f>
        <v>0.15844575060224891</v>
      </c>
      <c r="D105" s="29">
        <f>ROUND(SUM(D96:D104),2)</f>
        <v>2474.7199999999998</v>
      </c>
      <c r="E105" s="235"/>
      <c r="F105" s="235"/>
      <c r="G105" s="235"/>
      <c r="H105" s="235"/>
      <c r="I105" s="235"/>
      <c r="J105" s="235"/>
    </row>
    <row r="106" spans="1:10" s="37" customFormat="1" ht="27.75" customHeight="1" thickBot="1"/>
    <row r="107" spans="1:10" ht="18">
      <c r="A107" s="224" t="s">
        <v>98</v>
      </c>
      <c r="B107" s="225"/>
      <c r="C107" s="225"/>
      <c r="D107" s="226"/>
    </row>
    <row r="108" spans="1:10">
      <c r="A108" s="92"/>
      <c r="B108" s="219" t="s">
        <v>99</v>
      </c>
      <c r="C108" s="219"/>
      <c r="D108" s="113" t="s">
        <v>18</v>
      </c>
    </row>
    <row r="109" spans="1:10">
      <c r="A109" s="93" t="s">
        <v>19</v>
      </c>
      <c r="B109" s="220" t="s">
        <v>100</v>
      </c>
      <c r="C109" s="220"/>
      <c r="D109" s="72">
        <f>D34</f>
        <v>8063.89</v>
      </c>
    </row>
    <row r="110" spans="1:10">
      <c r="A110" s="92" t="s">
        <v>20</v>
      </c>
      <c r="B110" s="219" t="s">
        <v>101</v>
      </c>
      <c r="C110" s="219"/>
      <c r="D110" s="5">
        <f>D63</f>
        <v>5331.004820000001</v>
      </c>
    </row>
    <row r="111" spans="1:10">
      <c r="A111" s="93" t="s">
        <v>24</v>
      </c>
      <c r="B111" s="220" t="s">
        <v>102</v>
      </c>
      <c r="C111" s="220"/>
      <c r="D111" s="72">
        <f>D73</f>
        <v>533.02</v>
      </c>
    </row>
    <row r="112" spans="1:10">
      <c r="A112" s="92" t="s">
        <v>25</v>
      </c>
      <c r="B112" s="221" t="s">
        <v>103</v>
      </c>
      <c r="C112" s="221"/>
      <c r="D112" s="5">
        <f>D88</f>
        <v>859.62</v>
      </c>
    </row>
    <row r="113" spans="1:6">
      <c r="A113" s="93" t="s">
        <v>26</v>
      </c>
      <c r="B113" s="222" t="s">
        <v>104</v>
      </c>
      <c r="C113" s="222"/>
      <c r="D113" s="72">
        <f>D93</f>
        <v>1.25</v>
      </c>
    </row>
    <row r="114" spans="1:6">
      <c r="A114" s="92"/>
      <c r="B114" s="223" t="s">
        <v>105</v>
      </c>
      <c r="C114" s="223"/>
      <c r="D114" s="5">
        <f>ROUND(SUM(D109:D113),2)</f>
        <v>14788.78</v>
      </c>
    </row>
    <row r="115" spans="1:6">
      <c r="A115" s="93" t="s">
        <v>29</v>
      </c>
      <c r="B115" s="222" t="s">
        <v>106</v>
      </c>
      <c r="C115" s="222"/>
      <c r="D115" s="72">
        <f>D105</f>
        <v>2474.7199999999998</v>
      </c>
    </row>
    <row r="116" spans="1:6" ht="20.399999999999999">
      <c r="A116" s="229" t="s">
        <v>117</v>
      </c>
      <c r="B116" s="230"/>
      <c r="C116" s="230"/>
      <c r="D116" s="13">
        <f>D114+D115</f>
        <v>17263.5</v>
      </c>
      <c r="E116" s="65">
        <v>19889.03</v>
      </c>
    </row>
    <row r="117" spans="1:6" ht="20.399999999999999">
      <c r="A117" s="212" t="s">
        <v>118</v>
      </c>
      <c r="B117" s="213"/>
      <c r="C117" s="213"/>
      <c r="D117" s="13">
        <f>D116*C16</f>
        <v>17263.5</v>
      </c>
      <c r="E117" s="189">
        <v>0.13200899999999999</v>
      </c>
      <c r="F117" s="3" t="s">
        <v>183</v>
      </c>
    </row>
    <row r="118" spans="1:6" ht="20.399999999999999">
      <c r="A118" s="214" t="s">
        <v>119</v>
      </c>
      <c r="B118" s="215"/>
      <c r="C118" s="215"/>
      <c r="D118" s="100">
        <f>D117*C12</f>
        <v>207162</v>
      </c>
      <c r="E118" s="65">
        <f>E116*E117</f>
        <v>2625.5309612699998</v>
      </c>
    </row>
    <row r="119" spans="1:6" ht="18.600000000000001" thickBot="1">
      <c r="A119" s="216">
        <f>D1</f>
        <v>0</v>
      </c>
      <c r="B119" s="217"/>
      <c r="C119" s="217"/>
      <c r="D119" s="218"/>
      <c r="E119" s="65">
        <f>E116-E118</f>
        <v>17263.499038729999</v>
      </c>
      <c r="F119" s="3" t="s">
        <v>184</v>
      </c>
    </row>
    <row r="120" spans="1:6">
      <c r="B120" s="65"/>
      <c r="D120" s="65"/>
    </row>
  </sheetData>
  <mergeCells count="51">
    <mergeCell ref="A7:D7"/>
    <mergeCell ref="A1:D1"/>
    <mergeCell ref="A2:D2"/>
    <mergeCell ref="A4:D4"/>
    <mergeCell ref="A5:D5"/>
    <mergeCell ref="A6:D6"/>
    <mergeCell ref="C21:D21"/>
    <mergeCell ref="A8:D8"/>
    <mergeCell ref="C10:D10"/>
    <mergeCell ref="C11:D11"/>
    <mergeCell ref="C12:D12"/>
    <mergeCell ref="A14:D14"/>
    <mergeCell ref="C15:D15"/>
    <mergeCell ref="C16:D16"/>
    <mergeCell ref="A17:D17"/>
    <mergeCell ref="C18:D18"/>
    <mergeCell ref="C19:D19"/>
    <mergeCell ref="C20:D20"/>
    <mergeCell ref="C22:D22"/>
    <mergeCell ref="A24:D24"/>
    <mergeCell ref="A34:B34"/>
    <mergeCell ref="A36:D36"/>
    <mergeCell ref="A40:B40"/>
    <mergeCell ref="A50:B50"/>
    <mergeCell ref="A58:B58"/>
    <mergeCell ref="B59:C59"/>
    <mergeCell ref="A63:B63"/>
    <mergeCell ref="A65:C65"/>
    <mergeCell ref="A73:B73"/>
    <mergeCell ref="B92:C92"/>
    <mergeCell ref="A93:C93"/>
    <mergeCell ref="E104:J105"/>
    <mergeCell ref="A105:B105"/>
    <mergeCell ref="A83:B83"/>
    <mergeCell ref="A88:C88"/>
    <mergeCell ref="A90:C90"/>
    <mergeCell ref="A75:C75"/>
    <mergeCell ref="A107:D107"/>
    <mergeCell ref="A94:C94"/>
    <mergeCell ref="B108:C108"/>
    <mergeCell ref="A116:C116"/>
    <mergeCell ref="B109:C109"/>
    <mergeCell ref="A117:C117"/>
    <mergeCell ref="A118:C118"/>
    <mergeCell ref="A119:D119"/>
    <mergeCell ref="B110:C110"/>
    <mergeCell ref="B111:C111"/>
    <mergeCell ref="B112:C112"/>
    <mergeCell ref="B113:C113"/>
    <mergeCell ref="B114:C114"/>
    <mergeCell ref="B115:C115"/>
  </mergeCells>
  <conditionalFormatting sqref="E104:J105">
    <cfRule type="expression" dxfId="2" priority="1">
      <formula>$C$10="CURITIBA/PR"</formula>
    </cfRule>
  </conditionalFormatting>
  <pageMargins left="0.511811024" right="0.511811024" top="0.78740157499999996" bottom="0.78740157499999996" header="0.31496062000000002" footer="0.31496062000000002"/>
  <pageSetup paperSize="9" scale="68" orientation="portrait" r:id="rId1"/>
  <rowBreaks count="2" manualBreakCount="2">
    <brk id="57" max="3" man="1"/>
    <brk id="119" max="3" man="1"/>
  </rowBreaks>
  <colBreaks count="1" manualBreakCount="1">
    <brk id="4"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79297-E6B1-45CD-A2D4-DCF0B44036D4}">
  <dimension ref="A1:J120"/>
  <sheetViews>
    <sheetView view="pageBreakPreview" topLeftCell="A111" zoomScale="110" zoomScaleNormal="100" zoomScaleSheetLayoutView="110" workbookViewId="0">
      <selection activeCell="C128" sqref="C128"/>
    </sheetView>
  </sheetViews>
  <sheetFormatPr defaultColWidth="9.109375" defaultRowHeight="15.6"/>
  <cols>
    <col min="1" max="1" width="3.88671875" style="3" customWidth="1"/>
    <col min="2" max="2" width="68.33203125" style="3" customWidth="1"/>
    <col min="3" max="4" width="26.44140625" style="3" customWidth="1"/>
    <col min="5" max="5" width="18.6640625" style="3" customWidth="1"/>
    <col min="6" max="6" width="15" style="3" customWidth="1"/>
    <col min="7" max="7" width="12.109375" style="3" bestFit="1" customWidth="1"/>
    <col min="8" max="8" width="9.5546875" style="3" bestFit="1" customWidth="1"/>
    <col min="9" max="16384" width="9.109375" style="3"/>
  </cols>
  <sheetData>
    <row r="1" spans="1:5" customFormat="1" ht="52.35" customHeight="1">
      <c r="A1" s="273" t="s">
        <v>152</v>
      </c>
      <c r="B1" s="274"/>
      <c r="C1" s="274"/>
      <c r="D1" s="274"/>
    </row>
    <row r="2" spans="1:5" customFormat="1" ht="31.5" customHeight="1" thickBot="1">
      <c r="A2" s="275" t="s">
        <v>153</v>
      </c>
      <c r="B2" s="276"/>
      <c r="C2" s="276"/>
      <c r="D2" s="276"/>
    </row>
    <row r="3" spans="1:5" customFormat="1" ht="15" customHeight="1" thickBot="1"/>
    <row r="4" spans="1:5" ht="21" thickBot="1">
      <c r="A4" s="277" t="s">
        <v>168</v>
      </c>
      <c r="B4" s="278"/>
      <c r="C4" s="278"/>
      <c r="D4" s="279"/>
    </row>
    <row r="5" spans="1:5">
      <c r="A5" s="280" t="s">
        <v>3</v>
      </c>
      <c r="B5" s="281"/>
      <c r="C5" s="281"/>
      <c r="D5" s="282"/>
    </row>
    <row r="6" spans="1:5">
      <c r="A6" s="283" t="s">
        <v>160</v>
      </c>
      <c r="B6" s="284"/>
      <c r="C6" s="284"/>
      <c r="D6" s="285"/>
    </row>
    <row r="7" spans="1:5">
      <c r="A7" s="270" t="s">
        <v>161</v>
      </c>
      <c r="B7" s="271"/>
      <c r="C7" s="271"/>
      <c r="D7" s="272"/>
    </row>
    <row r="8" spans="1:5">
      <c r="A8" s="251" t="s">
        <v>164</v>
      </c>
      <c r="B8" s="252"/>
      <c r="C8" s="252"/>
      <c r="D8" s="253"/>
    </row>
    <row r="9" spans="1:5">
      <c r="A9" s="92"/>
      <c r="B9" s="63" t="s">
        <v>151</v>
      </c>
      <c r="C9" s="19"/>
      <c r="D9" s="18"/>
    </row>
    <row r="10" spans="1:5">
      <c r="A10" s="93"/>
      <c r="B10" s="112" t="s">
        <v>4</v>
      </c>
      <c r="C10" s="254" t="s">
        <v>162</v>
      </c>
      <c r="D10" s="255"/>
    </row>
    <row r="11" spans="1:5">
      <c r="A11" s="92"/>
      <c r="B11" s="111" t="s">
        <v>5</v>
      </c>
      <c r="C11" s="254" t="s">
        <v>188</v>
      </c>
      <c r="D11" s="255"/>
    </row>
    <row r="12" spans="1:5">
      <c r="A12" s="93"/>
      <c r="B12" s="112" t="s">
        <v>6</v>
      </c>
      <c r="C12" s="254">
        <v>12</v>
      </c>
      <c r="D12" s="255"/>
    </row>
    <row r="13" spans="1:5">
      <c r="A13" s="9"/>
      <c r="B13" s="10"/>
      <c r="C13" s="10"/>
      <c r="D13" s="11"/>
    </row>
    <row r="14" spans="1:5">
      <c r="A14" s="256" t="s">
        <v>7</v>
      </c>
      <c r="B14" s="257"/>
      <c r="C14" s="257"/>
      <c r="D14" s="258"/>
    </row>
    <row r="15" spans="1:5">
      <c r="A15" s="92"/>
      <c r="B15" s="111" t="s">
        <v>8</v>
      </c>
      <c r="C15" s="259" t="s">
        <v>149</v>
      </c>
      <c r="D15" s="260"/>
      <c r="E15" s="65"/>
    </row>
    <row r="16" spans="1:5">
      <c r="A16" s="92"/>
      <c r="B16" s="111" t="s">
        <v>9</v>
      </c>
      <c r="C16" s="259">
        <v>1</v>
      </c>
      <c r="D16" s="260"/>
    </row>
    <row r="17" spans="1:6">
      <c r="A17" s="261" t="s">
        <v>10</v>
      </c>
      <c r="B17" s="262"/>
      <c r="C17" s="262"/>
      <c r="D17" s="263"/>
    </row>
    <row r="18" spans="1:6">
      <c r="A18" s="12">
        <v>1</v>
      </c>
      <c r="B18" s="111" t="s">
        <v>11</v>
      </c>
      <c r="C18" s="264"/>
      <c r="D18" s="265"/>
    </row>
    <row r="19" spans="1:6">
      <c r="A19" s="14">
        <v>2</v>
      </c>
      <c r="B19" s="112" t="s">
        <v>12</v>
      </c>
      <c r="C19" s="266"/>
      <c r="D19" s="267"/>
    </row>
    <row r="20" spans="1:6">
      <c r="A20" s="12">
        <v>3</v>
      </c>
      <c r="B20" s="111" t="s">
        <v>122</v>
      </c>
      <c r="C20" s="268">
        <v>11497.18</v>
      </c>
      <c r="D20" s="269"/>
      <c r="E20" s="65"/>
    </row>
    <row r="21" spans="1:6">
      <c r="A21" s="14">
        <v>4</v>
      </c>
      <c r="B21" s="112" t="s">
        <v>13</v>
      </c>
      <c r="C21" s="249" t="str">
        <f>A4</f>
        <v>ANALISTA III</v>
      </c>
      <c r="D21" s="250"/>
      <c r="E21" s="65"/>
    </row>
    <row r="22" spans="1:6" ht="16.2" thickBot="1">
      <c r="A22" s="38">
        <v>5</v>
      </c>
      <c r="B22" s="39" t="s">
        <v>14</v>
      </c>
      <c r="C22" s="247">
        <v>44986</v>
      </c>
      <c r="D22" s="248"/>
    </row>
    <row r="23" spans="1:6" s="37" customFormat="1" ht="16.2" thickBot="1">
      <c r="B23" s="64"/>
      <c r="C23" s="64"/>
      <c r="F23" s="64"/>
    </row>
    <row r="24" spans="1:6" ht="18">
      <c r="A24" s="224" t="s">
        <v>15</v>
      </c>
      <c r="B24" s="225"/>
      <c r="C24" s="225"/>
      <c r="D24" s="226"/>
      <c r="E24" s="65"/>
    </row>
    <row r="25" spans="1:6">
      <c r="A25" s="12">
        <v>1</v>
      </c>
      <c r="B25" s="111" t="s">
        <v>16</v>
      </c>
      <c r="C25" s="110" t="s">
        <v>148</v>
      </c>
      <c r="D25" s="113" t="s">
        <v>18</v>
      </c>
      <c r="E25" s="65"/>
    </row>
    <row r="26" spans="1:6">
      <c r="A26" s="93" t="s">
        <v>19</v>
      </c>
      <c r="B26" s="126" t="str">
        <f>"Salário Base "&amp;C26&amp;" horas semanais"</f>
        <v>Salário Base 40 horas semanais</v>
      </c>
      <c r="C26" s="122">
        <v>40</v>
      </c>
      <c r="D26" s="72">
        <f>ROUND((C20/40)*C26,2)</f>
        <v>11497.18</v>
      </c>
      <c r="E26" s="65"/>
    </row>
    <row r="27" spans="1:6">
      <c r="A27" s="92" t="s">
        <v>20</v>
      </c>
      <c r="B27" s="111" t="s">
        <v>143</v>
      </c>
      <c r="C27" s="121">
        <v>0</v>
      </c>
      <c r="D27" s="124">
        <f>ROUND(C27*1320,2)</f>
        <v>0</v>
      </c>
      <c r="E27" s="65"/>
    </row>
    <row r="28" spans="1:6">
      <c r="A28" s="93" t="s">
        <v>24</v>
      </c>
      <c r="B28" s="112" t="s">
        <v>21</v>
      </c>
      <c r="C28" s="121">
        <v>0</v>
      </c>
      <c r="D28" s="124">
        <f>ROUND((D26*C28),2)</f>
        <v>0</v>
      </c>
    </row>
    <row r="29" spans="1:6">
      <c r="A29" s="92" t="s">
        <v>25</v>
      </c>
      <c r="B29" s="111" t="s">
        <v>22</v>
      </c>
      <c r="C29" s="121">
        <v>0</v>
      </c>
      <c r="D29" s="5">
        <v>0</v>
      </c>
    </row>
    <row r="30" spans="1:6">
      <c r="A30" s="93" t="s">
        <v>26</v>
      </c>
      <c r="B30" s="112" t="s">
        <v>23</v>
      </c>
      <c r="C30" s="121">
        <v>0</v>
      </c>
      <c r="D30" s="72">
        <v>0</v>
      </c>
    </row>
    <row r="31" spans="1:6">
      <c r="A31" s="92" t="s">
        <v>29</v>
      </c>
      <c r="B31" s="111" t="s">
        <v>27</v>
      </c>
      <c r="C31" s="121">
        <v>0</v>
      </c>
      <c r="D31" s="5">
        <v>0</v>
      </c>
    </row>
    <row r="32" spans="1:6">
      <c r="A32" s="93" t="s">
        <v>30</v>
      </c>
      <c r="B32" s="112" t="s">
        <v>28</v>
      </c>
      <c r="C32" s="121">
        <v>0</v>
      </c>
      <c r="D32" s="134">
        <f>ROUND((C20*C32)/180*15,2)*15</f>
        <v>0</v>
      </c>
    </row>
    <row r="33" spans="1:9" ht="16.2" thickBot="1">
      <c r="A33" s="54" t="s">
        <v>31</v>
      </c>
      <c r="B33" s="58" t="s">
        <v>155</v>
      </c>
      <c r="C33" s="59" t="s">
        <v>156</v>
      </c>
      <c r="D33" s="55"/>
    </row>
    <row r="34" spans="1:9" ht="21" thickBot="1">
      <c r="A34" s="231" t="s">
        <v>110</v>
      </c>
      <c r="B34" s="234"/>
      <c r="C34" s="56"/>
      <c r="D34" s="57">
        <f>ROUND(SUM(D26:D33),2)</f>
        <v>11497.18</v>
      </c>
      <c r="E34" s="120"/>
      <c r="G34" s="65"/>
      <c r="H34" s="65"/>
    </row>
    <row r="35" spans="1:9" s="37" customFormat="1" ht="16.2" thickBot="1">
      <c r="B35" s="64"/>
      <c r="C35" s="64"/>
      <c r="G35" s="64"/>
    </row>
    <row r="36" spans="1:9" ht="18">
      <c r="A36" s="224" t="s">
        <v>33</v>
      </c>
      <c r="B36" s="225"/>
      <c r="C36" s="225"/>
      <c r="D36" s="226"/>
      <c r="G36" s="99"/>
    </row>
    <row r="37" spans="1:9">
      <c r="A37" s="92" t="s">
        <v>34</v>
      </c>
      <c r="B37" s="63" t="s">
        <v>35</v>
      </c>
      <c r="C37" s="111"/>
      <c r="D37" s="27" t="s">
        <v>18</v>
      </c>
      <c r="G37" s="65"/>
    </row>
    <row r="38" spans="1:9">
      <c r="A38" s="93" t="s">
        <v>19</v>
      </c>
      <c r="B38" s="62" t="s">
        <v>58</v>
      </c>
      <c r="C38" s="73">
        <f>ENCARGOS!$C$10</f>
        <v>8.3299999999999999E-2</v>
      </c>
      <c r="D38" s="72">
        <f>ROUND(($D$34*ENCARGOS!$C$10),2)</f>
        <v>957.72</v>
      </c>
      <c r="I38" s="99"/>
    </row>
    <row r="39" spans="1:9" s="37" customFormat="1">
      <c r="A39" s="70" t="s">
        <v>20</v>
      </c>
      <c r="B39" s="66" t="s">
        <v>59</v>
      </c>
      <c r="C39" s="67">
        <f>ENCARGOS!C11</f>
        <v>2.7799999999999998E-2</v>
      </c>
      <c r="D39" s="46">
        <f>ROUND(($D$34*ENCARGOS!$C11),2)</f>
        <v>319.62</v>
      </c>
    </row>
    <row r="40" spans="1:9" ht="21" thickBot="1">
      <c r="A40" s="242" t="s">
        <v>115</v>
      </c>
      <c r="B40" s="244"/>
      <c r="C40" s="61">
        <f>SUM(C38:C39)</f>
        <v>0.1111</v>
      </c>
      <c r="D40" s="29">
        <f>ROUND(SUM(D38:D39),2)</f>
        <v>1277.3399999999999</v>
      </c>
    </row>
    <row r="41" spans="1:9" ht="31.2">
      <c r="A41" s="30" t="s">
        <v>60</v>
      </c>
      <c r="B41" s="31" t="s">
        <v>120</v>
      </c>
      <c r="C41" s="32" t="s">
        <v>17</v>
      </c>
      <c r="D41" s="33" t="s">
        <v>18</v>
      </c>
      <c r="E41" s="98"/>
    </row>
    <row r="42" spans="1:9">
      <c r="A42" s="93" t="s">
        <v>19</v>
      </c>
      <c r="B42" s="112" t="s">
        <v>2</v>
      </c>
      <c r="C42" s="73">
        <f>ENCARGOS!$C$14</f>
        <v>0.2</v>
      </c>
      <c r="D42" s="72">
        <f>($D$34+$D$40)*C42</f>
        <v>2554.9040000000005</v>
      </c>
      <c r="E42" s="65"/>
      <c r="F42" s="98"/>
    </row>
    <row r="43" spans="1:9" s="37" customFormat="1">
      <c r="A43" s="70" t="s">
        <v>20</v>
      </c>
      <c r="B43" s="71" t="s">
        <v>61</v>
      </c>
      <c r="C43" s="67">
        <f>ENCARGOS!$C$15</f>
        <v>2.5000000000000001E-2</v>
      </c>
      <c r="D43" s="46">
        <f t="shared" ref="D43:D49" si="0">($D$34+$D$40)*C43</f>
        <v>319.36300000000006</v>
      </c>
      <c r="E43" s="65"/>
    </row>
    <row r="44" spans="1:9">
      <c r="A44" s="93" t="s">
        <v>24</v>
      </c>
      <c r="B44" s="112" t="s">
        <v>62</v>
      </c>
      <c r="C44" s="73">
        <f>ENCARGOS!$C$16</f>
        <v>0.02</v>
      </c>
      <c r="D44" s="72">
        <f t="shared" si="0"/>
        <v>255.49040000000002</v>
      </c>
      <c r="E44" s="65"/>
    </row>
    <row r="45" spans="1:9" s="37" customFormat="1">
      <c r="A45" s="70" t="s">
        <v>25</v>
      </c>
      <c r="B45" s="71" t="s">
        <v>63</v>
      </c>
      <c r="C45" s="67">
        <f>ENCARGOS!$C$17</f>
        <v>1.4999999999999999E-2</v>
      </c>
      <c r="D45" s="46">
        <f t="shared" si="0"/>
        <v>191.61779999999999</v>
      </c>
      <c r="E45" s="65"/>
    </row>
    <row r="46" spans="1:9">
      <c r="A46" s="93" t="s">
        <v>26</v>
      </c>
      <c r="B46" s="112" t="s">
        <v>64</v>
      </c>
      <c r="C46" s="73">
        <f>ENCARGOS!$C$18</f>
        <v>0.01</v>
      </c>
      <c r="D46" s="72">
        <f t="shared" si="0"/>
        <v>127.74520000000001</v>
      </c>
      <c r="E46" s="65"/>
    </row>
    <row r="47" spans="1:9" s="37" customFormat="1">
      <c r="A47" s="70" t="s">
        <v>29</v>
      </c>
      <c r="B47" s="71" t="s">
        <v>65</v>
      </c>
      <c r="C47" s="67">
        <f>ENCARGOS!$C$19</f>
        <v>6.0000000000000001E-3</v>
      </c>
      <c r="D47" s="46">
        <f t="shared" si="0"/>
        <v>76.647120000000001</v>
      </c>
      <c r="E47" s="65"/>
    </row>
    <row r="48" spans="1:9">
      <c r="A48" s="93" t="s">
        <v>30</v>
      </c>
      <c r="B48" s="112" t="s">
        <v>66</v>
      </c>
      <c r="C48" s="73">
        <f>ENCARGOS!$C$20</f>
        <v>2E-3</v>
      </c>
      <c r="D48" s="72">
        <f t="shared" si="0"/>
        <v>25.549040000000002</v>
      </c>
      <c r="E48" s="65"/>
    </row>
    <row r="49" spans="1:7" s="37" customFormat="1">
      <c r="A49" s="70" t="s">
        <v>31</v>
      </c>
      <c r="B49" s="71" t="s">
        <v>1</v>
      </c>
      <c r="C49" s="67">
        <f>ENCARGOS!$C$21</f>
        <v>0.08</v>
      </c>
      <c r="D49" s="46">
        <f t="shared" si="0"/>
        <v>1021.9616000000001</v>
      </c>
      <c r="E49" s="65"/>
    </row>
    <row r="50" spans="1:7" ht="21" thickBot="1">
      <c r="A50" s="242" t="s">
        <v>115</v>
      </c>
      <c r="B50" s="243"/>
      <c r="C50" s="61">
        <f>SUM(C42:C49)</f>
        <v>0.35800000000000004</v>
      </c>
      <c r="D50" s="29">
        <f>SUM(D42:D49)</f>
        <v>4573.2781600000008</v>
      </c>
      <c r="E50" s="65"/>
      <c r="F50" s="65"/>
      <c r="G50" s="97"/>
    </row>
    <row r="51" spans="1:7">
      <c r="A51" s="30" t="s">
        <v>54</v>
      </c>
      <c r="B51" s="34" t="s">
        <v>55</v>
      </c>
      <c r="C51" s="32" t="s">
        <v>17</v>
      </c>
      <c r="D51" s="33" t="s">
        <v>18</v>
      </c>
    </row>
    <row r="52" spans="1:7">
      <c r="A52" s="93" t="s">
        <v>19</v>
      </c>
      <c r="B52" s="127" t="s">
        <v>67</v>
      </c>
      <c r="C52" s="123">
        <v>0</v>
      </c>
      <c r="D52" s="124">
        <f>ROUND((0*2*22)-((-1*C52)*D26),2)</f>
        <v>0</v>
      </c>
      <c r="F52" s="65"/>
    </row>
    <row r="53" spans="1:7">
      <c r="A53" s="92" t="s">
        <v>20</v>
      </c>
      <c r="B53" s="127" t="s">
        <v>144</v>
      </c>
      <c r="C53" s="125">
        <v>0</v>
      </c>
      <c r="D53" s="124">
        <f>ROUND((756*1)*(100%+C53),2)</f>
        <v>756</v>
      </c>
      <c r="F53" s="65"/>
    </row>
    <row r="54" spans="1:7">
      <c r="A54" s="92" t="s">
        <v>24</v>
      </c>
      <c r="B54" s="66" t="s">
        <v>180</v>
      </c>
      <c r="C54" s="193"/>
      <c r="D54" s="46">
        <v>371</v>
      </c>
      <c r="E54" s="65"/>
      <c r="F54" s="97"/>
    </row>
    <row r="55" spans="1:7">
      <c r="A55" s="92" t="s">
        <v>25</v>
      </c>
      <c r="B55" s="63" t="s">
        <v>185</v>
      </c>
      <c r="C55" s="6"/>
      <c r="D55" s="5">
        <v>75.5</v>
      </c>
      <c r="E55" s="65"/>
      <c r="F55" s="65"/>
    </row>
    <row r="56" spans="1:7">
      <c r="A56" s="130" t="s">
        <v>26</v>
      </c>
      <c r="B56" s="63" t="s">
        <v>186</v>
      </c>
      <c r="C56" s="6"/>
      <c r="D56" s="131">
        <v>25</v>
      </c>
      <c r="E56" s="65"/>
      <c r="F56" s="65"/>
    </row>
    <row r="57" spans="1:7">
      <c r="A57" s="92" t="s">
        <v>29</v>
      </c>
      <c r="B57" s="63"/>
      <c r="C57" s="6"/>
      <c r="D57" s="5"/>
      <c r="E57" s="65"/>
      <c r="F57" s="65"/>
    </row>
    <row r="58" spans="1:7" ht="21" thickBot="1">
      <c r="A58" s="242" t="s">
        <v>115</v>
      </c>
      <c r="B58" s="244"/>
      <c r="C58" s="28"/>
      <c r="D58" s="29">
        <f>SUM(D52:D57)</f>
        <v>1227.5</v>
      </c>
    </row>
    <row r="59" spans="1:7" ht="15.75" customHeight="1">
      <c r="A59" s="35">
        <v>2</v>
      </c>
      <c r="B59" s="245" t="s">
        <v>68</v>
      </c>
      <c r="C59" s="246"/>
      <c r="D59" s="36" t="s">
        <v>18</v>
      </c>
    </row>
    <row r="60" spans="1:7">
      <c r="A60" s="15" t="s">
        <v>34</v>
      </c>
      <c r="B60" s="20" t="s">
        <v>35</v>
      </c>
      <c r="C60" s="22"/>
      <c r="D60" s="16">
        <f>D40</f>
        <v>1277.3399999999999</v>
      </c>
    </row>
    <row r="61" spans="1:7">
      <c r="A61" s="7" t="s">
        <v>60</v>
      </c>
      <c r="B61" s="21" t="s">
        <v>69</v>
      </c>
      <c r="C61" s="23"/>
      <c r="D61" s="8">
        <f>D50</f>
        <v>4573.2781600000008</v>
      </c>
    </row>
    <row r="62" spans="1:7" ht="16.2" thickBot="1">
      <c r="A62" s="50" t="s">
        <v>54</v>
      </c>
      <c r="B62" s="51" t="s">
        <v>55</v>
      </c>
      <c r="C62" s="52"/>
      <c r="D62" s="53">
        <f>D58</f>
        <v>1227.5</v>
      </c>
    </row>
    <row r="63" spans="1:7" ht="21" thickBot="1">
      <c r="A63" s="231" t="s">
        <v>111</v>
      </c>
      <c r="B63" s="232"/>
      <c r="C63" s="49"/>
      <c r="D63" s="57">
        <f>SUM(D60:D62)</f>
        <v>7078.1181600000009</v>
      </c>
    </row>
    <row r="64" spans="1:7" s="37" customFormat="1" ht="16.2" thickBot="1"/>
    <row r="65" spans="1:5" ht="18">
      <c r="A65" s="240" t="s">
        <v>70</v>
      </c>
      <c r="B65" s="241"/>
      <c r="C65" s="241"/>
      <c r="D65" s="40"/>
    </row>
    <row r="66" spans="1:5">
      <c r="A66" s="12">
        <v>3</v>
      </c>
      <c r="B66" s="63" t="s">
        <v>71</v>
      </c>
      <c r="C66" s="45" t="s">
        <v>17</v>
      </c>
      <c r="D66" s="27" t="s">
        <v>18</v>
      </c>
    </row>
    <row r="67" spans="1:5">
      <c r="A67" s="93" t="s">
        <v>19</v>
      </c>
      <c r="B67" s="62" t="s">
        <v>72</v>
      </c>
      <c r="C67" s="73">
        <f>ENCARGOS!C24</f>
        <v>4.1999999999999997E-3</v>
      </c>
      <c r="D67" s="72">
        <f>C67*$D$34</f>
        <v>48.288156000000001</v>
      </c>
    </row>
    <row r="68" spans="1:5">
      <c r="A68" s="92" t="s">
        <v>20</v>
      </c>
      <c r="B68" s="66" t="s">
        <v>73</v>
      </c>
      <c r="C68" s="67">
        <f>ENCARGOS!C25</f>
        <v>2.9999999999999997E-4</v>
      </c>
      <c r="D68" s="5">
        <f t="shared" ref="D68:D72" si="1">C68*$D$34</f>
        <v>3.4491539999999996</v>
      </c>
    </row>
    <row r="69" spans="1:5">
      <c r="A69" s="93" t="s">
        <v>24</v>
      </c>
      <c r="B69" s="62" t="s">
        <v>146</v>
      </c>
      <c r="C69" s="73">
        <f>ENCARGOS!C26</f>
        <v>3.44E-2</v>
      </c>
      <c r="D69" s="72">
        <f t="shared" si="1"/>
        <v>395.50299200000001</v>
      </c>
    </row>
    <row r="70" spans="1:5">
      <c r="A70" s="92" t="s">
        <v>25</v>
      </c>
      <c r="B70" s="66" t="s">
        <v>74</v>
      </c>
      <c r="C70" s="67">
        <f>ENCARGOS!C27</f>
        <v>1.9400000000000001E-2</v>
      </c>
      <c r="D70" s="5">
        <f t="shared" si="1"/>
        <v>223.04529200000002</v>
      </c>
    </row>
    <row r="71" spans="1:5">
      <c r="A71" s="93" t="s">
        <v>26</v>
      </c>
      <c r="B71" s="62" t="s">
        <v>75</v>
      </c>
      <c r="C71" s="73">
        <f>ENCARGOS!C28</f>
        <v>7.1999999999999998E-3</v>
      </c>
      <c r="D71" s="72">
        <f t="shared" si="1"/>
        <v>82.779696000000001</v>
      </c>
    </row>
    <row r="72" spans="1:5" ht="16.2" thickBot="1">
      <c r="A72" s="54" t="s">
        <v>29</v>
      </c>
      <c r="B72" s="68" t="s">
        <v>147</v>
      </c>
      <c r="C72" s="69">
        <f>ENCARGOS!C29</f>
        <v>5.9999999999999995E-4</v>
      </c>
      <c r="D72" s="5">
        <f t="shared" si="1"/>
        <v>6.8983079999999992</v>
      </c>
    </row>
    <row r="73" spans="1:5" ht="21" thickBot="1">
      <c r="A73" s="231" t="s">
        <v>112</v>
      </c>
      <c r="B73" s="232"/>
      <c r="C73" s="60">
        <f>SUM(C67:C72)</f>
        <v>6.6100000000000006E-2</v>
      </c>
      <c r="D73" s="57">
        <f>ROUND(SUM(D67:D72),2)</f>
        <v>759.96</v>
      </c>
    </row>
    <row r="74" spans="1:5" s="37" customFormat="1" ht="27.75" customHeight="1" thickBot="1">
      <c r="D74" s="64"/>
    </row>
    <row r="75" spans="1:5" ht="18">
      <c r="A75" s="240" t="s">
        <v>76</v>
      </c>
      <c r="B75" s="241"/>
      <c r="C75" s="241"/>
      <c r="D75" s="40"/>
    </row>
    <row r="76" spans="1:5">
      <c r="A76" s="92" t="s">
        <v>77</v>
      </c>
      <c r="B76" s="63" t="s">
        <v>78</v>
      </c>
      <c r="C76" s="26" t="s">
        <v>17</v>
      </c>
      <c r="D76" s="27" t="s">
        <v>18</v>
      </c>
    </row>
    <row r="77" spans="1:5">
      <c r="A77" s="93" t="s">
        <v>19</v>
      </c>
      <c r="B77" s="62" t="s">
        <v>79</v>
      </c>
      <c r="C77" s="73">
        <f>ENCARGOS!$C33</f>
        <v>8.3299999999999999E-2</v>
      </c>
      <c r="D77" s="72">
        <f t="shared" ref="D77:D82" si="2">ROUND(($D$34*C77),2)</f>
        <v>957.72</v>
      </c>
      <c r="E77" s="120"/>
    </row>
    <row r="78" spans="1:5">
      <c r="A78" s="70" t="s">
        <v>20</v>
      </c>
      <c r="B78" s="66" t="s">
        <v>135</v>
      </c>
      <c r="C78" s="67">
        <f>ENCARGOS!$C34</f>
        <v>1.66E-2</v>
      </c>
      <c r="D78" s="46">
        <f t="shared" si="2"/>
        <v>190.85</v>
      </c>
      <c r="E78" s="120"/>
    </row>
    <row r="79" spans="1:5" s="37" customFormat="1">
      <c r="A79" s="93" t="s">
        <v>24</v>
      </c>
      <c r="B79" s="62" t="s">
        <v>80</v>
      </c>
      <c r="C79" s="73">
        <f>ENCARGOS!$C35</f>
        <v>4.0000000000000002E-4</v>
      </c>
      <c r="D79" s="72">
        <f t="shared" si="2"/>
        <v>4.5999999999999996</v>
      </c>
      <c r="E79" s="120"/>
    </row>
    <row r="80" spans="1:5">
      <c r="A80" s="70" t="s">
        <v>25</v>
      </c>
      <c r="B80" s="66" t="s">
        <v>81</v>
      </c>
      <c r="C80" s="67">
        <f>ENCARGOS!$C36</f>
        <v>1.5E-3</v>
      </c>
      <c r="D80" s="46">
        <f t="shared" si="2"/>
        <v>17.25</v>
      </c>
      <c r="E80" s="120"/>
    </row>
    <row r="81" spans="1:5" s="37" customFormat="1">
      <c r="A81" s="94" t="s">
        <v>26</v>
      </c>
      <c r="B81" s="95" t="s">
        <v>78</v>
      </c>
      <c r="C81" s="73">
        <f>ENCARGOS!$C37</f>
        <v>2.8E-3</v>
      </c>
      <c r="D81" s="72">
        <f t="shared" si="2"/>
        <v>32.19</v>
      </c>
      <c r="E81" s="120"/>
    </row>
    <row r="82" spans="1:5">
      <c r="A82" s="70" t="s">
        <v>29</v>
      </c>
      <c r="B82" s="66" t="s">
        <v>136</v>
      </c>
      <c r="C82" s="67">
        <f>ENCARGOS!$C38</f>
        <v>2E-3</v>
      </c>
      <c r="D82" s="46">
        <f t="shared" si="2"/>
        <v>22.99</v>
      </c>
      <c r="E82" s="120"/>
    </row>
    <row r="83" spans="1:5" ht="21" thickBot="1">
      <c r="A83" s="238" t="s">
        <v>115</v>
      </c>
      <c r="B83" s="239"/>
      <c r="C83" s="102">
        <f>SUM(C77:C82)</f>
        <v>0.1066</v>
      </c>
      <c r="D83" s="103">
        <f>ROUND(SUM(D77:D82),2)</f>
        <v>1225.5999999999999</v>
      </c>
    </row>
    <row r="84" spans="1:5">
      <c r="A84" s="92"/>
      <c r="B84" s="63"/>
      <c r="C84" s="44"/>
      <c r="D84" s="4"/>
    </row>
    <row r="85" spans="1:5">
      <c r="A85" s="14">
        <v>4</v>
      </c>
      <c r="B85" s="24" t="s">
        <v>84</v>
      </c>
      <c r="C85" s="25"/>
      <c r="D85" s="17" t="s">
        <v>18</v>
      </c>
    </row>
    <row r="86" spans="1:5">
      <c r="A86" s="92" t="s">
        <v>77</v>
      </c>
      <c r="B86" s="63" t="s">
        <v>85</v>
      </c>
      <c r="C86" s="44"/>
      <c r="D86" s="5">
        <f>D83</f>
        <v>1225.5999999999999</v>
      </c>
    </row>
    <row r="87" spans="1:5" ht="16.2" thickBot="1">
      <c r="A87" s="94" t="s">
        <v>82</v>
      </c>
      <c r="B87" s="95" t="s">
        <v>83</v>
      </c>
      <c r="C87" s="47"/>
      <c r="D87" s="48">
        <f>D32</f>
        <v>0</v>
      </c>
    </row>
    <row r="88" spans="1:5" ht="21" thickBot="1">
      <c r="A88" s="231" t="s">
        <v>114</v>
      </c>
      <c r="B88" s="232"/>
      <c r="C88" s="234"/>
      <c r="D88" s="57">
        <f>ROUND(SUM(D86:D87),2)</f>
        <v>1225.5999999999999</v>
      </c>
    </row>
    <row r="89" spans="1:5" s="37" customFormat="1" ht="27.75" customHeight="1" thickBot="1">
      <c r="B89" s="43"/>
    </row>
    <row r="90" spans="1:5" ht="18">
      <c r="A90" s="227" t="s">
        <v>86</v>
      </c>
      <c r="B90" s="228"/>
      <c r="C90" s="228"/>
      <c r="D90" s="41"/>
    </row>
    <row r="91" spans="1:5">
      <c r="A91" s="12">
        <v>3</v>
      </c>
      <c r="B91" s="63" t="s">
        <v>87</v>
      </c>
      <c r="C91" s="44"/>
      <c r="D91" s="27" t="s">
        <v>18</v>
      </c>
    </row>
    <row r="92" spans="1:5" ht="16.2" thickBot="1">
      <c r="A92" s="128" t="s">
        <v>19</v>
      </c>
      <c r="B92" s="233" t="s">
        <v>182</v>
      </c>
      <c r="C92" s="233"/>
      <c r="D92" s="129">
        <f>15/12</f>
        <v>1.25</v>
      </c>
      <c r="E92" s="65"/>
    </row>
    <row r="93" spans="1:5" ht="21" thickBot="1">
      <c r="A93" s="231" t="s">
        <v>115</v>
      </c>
      <c r="B93" s="232"/>
      <c r="C93" s="234"/>
      <c r="D93" s="57">
        <f>ROUND(SUM(D92:D92),2)</f>
        <v>1.25</v>
      </c>
    </row>
    <row r="94" spans="1:5" ht="18">
      <c r="A94" s="227" t="s">
        <v>88</v>
      </c>
      <c r="B94" s="228"/>
      <c r="C94" s="228"/>
      <c r="D94" s="42"/>
      <c r="E94" s="65"/>
    </row>
    <row r="95" spans="1:5">
      <c r="A95" s="12">
        <v>5</v>
      </c>
      <c r="B95" s="111" t="s">
        <v>89</v>
      </c>
      <c r="C95" s="26" t="s">
        <v>17</v>
      </c>
      <c r="D95" s="27" t="s">
        <v>18</v>
      </c>
    </row>
    <row r="96" spans="1:5">
      <c r="A96" s="93" t="s">
        <v>19</v>
      </c>
      <c r="B96" s="112" t="s">
        <v>90</v>
      </c>
      <c r="C96" s="123">
        <f>'ASSISTENTE 1'!C96</f>
        <v>0.06</v>
      </c>
      <c r="D96" s="16">
        <f>ROUND((D114)*(C96),2)</f>
        <v>1233.73</v>
      </c>
      <c r="E96" s="65"/>
    </row>
    <row r="97" spans="1:10">
      <c r="A97" s="92" t="s">
        <v>20</v>
      </c>
      <c r="B97" s="111" t="s">
        <v>91</v>
      </c>
      <c r="C97" s="123">
        <v>2.9043942889079254E-2</v>
      </c>
      <c r="D97" s="5">
        <f>ROUND((D96+D114)*(C97),2)</f>
        <v>633.04</v>
      </c>
      <c r="E97" s="65"/>
    </row>
    <row r="98" spans="1:10">
      <c r="A98" s="93" t="s">
        <v>24</v>
      </c>
      <c r="B98" s="112" t="s">
        <v>92</v>
      </c>
      <c r="C98" s="73"/>
      <c r="D98" s="72"/>
      <c r="E98" s="65"/>
    </row>
    <row r="99" spans="1:10">
      <c r="A99" s="92"/>
      <c r="B99" s="111" t="s">
        <v>93</v>
      </c>
      <c r="C99" s="6"/>
      <c r="D99" s="5"/>
      <c r="E99" s="65"/>
    </row>
    <row r="100" spans="1:10">
      <c r="A100" s="93"/>
      <c r="B100" s="112" t="s">
        <v>94</v>
      </c>
      <c r="C100" s="182">
        <f>'Calculo SPED'!F16</f>
        <v>1.7202073069227553E-3</v>
      </c>
      <c r="D100" s="72">
        <f>ROUND((D114+D96+D97)*C100,2)</f>
        <v>38.58</v>
      </c>
    </row>
    <row r="101" spans="1:10">
      <c r="A101" s="92"/>
      <c r="B101" s="111" t="s">
        <v>95</v>
      </c>
      <c r="C101" s="183">
        <f>'Calculo SPED'!I16</f>
        <v>7.9584113825690948E-3</v>
      </c>
      <c r="D101" s="5">
        <f>ROUND((D114+D96+D97)*C101,2)</f>
        <v>178.5</v>
      </c>
    </row>
    <row r="102" spans="1:10">
      <c r="A102" s="93"/>
      <c r="B102" s="112" t="s">
        <v>96</v>
      </c>
      <c r="C102" s="73"/>
      <c r="D102" s="72"/>
    </row>
    <row r="103" spans="1:10">
      <c r="A103" s="92"/>
      <c r="B103" s="111" t="s">
        <v>97</v>
      </c>
      <c r="C103" s="6"/>
      <c r="D103" s="5"/>
      <c r="E103" s="65"/>
    </row>
    <row r="104" spans="1:10">
      <c r="A104" s="93"/>
      <c r="B104" s="112" t="s">
        <v>116</v>
      </c>
      <c r="C104" s="73">
        <v>0.05</v>
      </c>
      <c r="D104" s="72">
        <f>IF(C10="CURITIBA/PR",(D92+D96+D97+D100+D101)*C104,(D114+D96+D97+D100+D101+D102+D103)*C104)</f>
        <v>1132.2980000000002</v>
      </c>
      <c r="E104" s="235" t="s">
        <v>129</v>
      </c>
      <c r="F104" s="235"/>
      <c r="G104" s="235"/>
      <c r="H104" s="235"/>
      <c r="I104" s="235"/>
      <c r="J104" s="235"/>
    </row>
    <row r="105" spans="1:10" ht="33" customHeight="1" thickBot="1">
      <c r="A105" s="236" t="s">
        <v>113</v>
      </c>
      <c r="B105" s="237"/>
      <c r="C105" s="61">
        <f>SUM(C96:C104)</f>
        <v>0.14872256157857111</v>
      </c>
      <c r="D105" s="29">
        <f>ROUND(SUM(D96:D104),2)</f>
        <v>3216.15</v>
      </c>
      <c r="E105" s="235"/>
      <c r="F105" s="235"/>
      <c r="G105" s="235"/>
      <c r="H105" s="235"/>
      <c r="I105" s="235"/>
      <c r="J105" s="235"/>
    </row>
    <row r="106" spans="1:10" s="37" customFormat="1" ht="27.75" customHeight="1" thickBot="1"/>
    <row r="107" spans="1:10" ht="18">
      <c r="A107" s="224" t="s">
        <v>98</v>
      </c>
      <c r="B107" s="225"/>
      <c r="C107" s="225"/>
      <c r="D107" s="226"/>
    </row>
    <row r="108" spans="1:10">
      <c r="A108" s="92"/>
      <c r="B108" s="219" t="s">
        <v>99</v>
      </c>
      <c r="C108" s="219"/>
      <c r="D108" s="113" t="s">
        <v>18</v>
      </c>
    </row>
    <row r="109" spans="1:10">
      <c r="A109" s="93" t="s">
        <v>19</v>
      </c>
      <c r="B109" s="220" t="s">
        <v>100</v>
      </c>
      <c r="C109" s="220"/>
      <c r="D109" s="72">
        <f>D34</f>
        <v>11497.18</v>
      </c>
    </row>
    <row r="110" spans="1:10">
      <c r="A110" s="92" t="s">
        <v>20</v>
      </c>
      <c r="B110" s="219" t="s">
        <v>101</v>
      </c>
      <c r="C110" s="219"/>
      <c r="D110" s="5">
        <f>D63</f>
        <v>7078.1181600000009</v>
      </c>
    </row>
    <row r="111" spans="1:10">
      <c r="A111" s="93" t="s">
        <v>24</v>
      </c>
      <c r="B111" s="220" t="s">
        <v>102</v>
      </c>
      <c r="C111" s="220"/>
      <c r="D111" s="72">
        <f>D73</f>
        <v>759.96</v>
      </c>
    </row>
    <row r="112" spans="1:10">
      <c r="A112" s="92" t="s">
        <v>25</v>
      </c>
      <c r="B112" s="221" t="s">
        <v>103</v>
      </c>
      <c r="C112" s="221"/>
      <c r="D112" s="5">
        <f>D88</f>
        <v>1225.5999999999999</v>
      </c>
    </row>
    <row r="113" spans="1:6">
      <c r="A113" s="93" t="s">
        <v>26</v>
      </c>
      <c r="B113" s="222" t="s">
        <v>104</v>
      </c>
      <c r="C113" s="222"/>
      <c r="D113" s="72">
        <f>D93</f>
        <v>1.25</v>
      </c>
    </row>
    <row r="114" spans="1:6">
      <c r="A114" s="92"/>
      <c r="B114" s="223" t="s">
        <v>105</v>
      </c>
      <c r="C114" s="223"/>
      <c r="D114" s="5">
        <f>ROUND(SUM(D109:D113),2)</f>
        <v>20562.11</v>
      </c>
    </row>
    <row r="115" spans="1:6">
      <c r="A115" s="93" t="s">
        <v>29</v>
      </c>
      <c r="B115" s="222" t="s">
        <v>106</v>
      </c>
      <c r="C115" s="222"/>
      <c r="D115" s="72">
        <f>D105</f>
        <v>3216.15</v>
      </c>
    </row>
    <row r="116" spans="1:6" ht="20.399999999999999">
      <c r="A116" s="229" t="s">
        <v>117</v>
      </c>
      <c r="B116" s="230"/>
      <c r="C116" s="230"/>
      <c r="D116" s="13">
        <f>D114+D115</f>
        <v>23778.260000000002</v>
      </c>
      <c r="E116" s="65">
        <v>27394.59</v>
      </c>
    </row>
    <row r="117" spans="1:6" ht="20.399999999999999">
      <c r="A117" s="212" t="s">
        <v>118</v>
      </c>
      <c r="B117" s="213"/>
      <c r="C117" s="213"/>
      <c r="D117" s="13">
        <f>D116*C16</f>
        <v>23778.260000000002</v>
      </c>
      <c r="E117" s="189">
        <v>0.13200899999999999</v>
      </c>
      <c r="F117" s="3" t="s">
        <v>183</v>
      </c>
    </row>
    <row r="118" spans="1:6" ht="20.399999999999999">
      <c r="A118" s="214" t="s">
        <v>119</v>
      </c>
      <c r="B118" s="215"/>
      <c r="C118" s="215"/>
      <c r="D118" s="100">
        <f>D117*C12</f>
        <v>285339.12</v>
      </c>
      <c r="E118" s="65">
        <f>E116*E117</f>
        <v>3616.3324313099997</v>
      </c>
    </row>
    <row r="119" spans="1:6" ht="18.600000000000001" thickBot="1">
      <c r="A119" s="216">
        <f>D1</f>
        <v>0</v>
      </c>
      <c r="B119" s="217"/>
      <c r="C119" s="217"/>
      <c r="D119" s="218"/>
      <c r="E119" s="65">
        <f>E116-E118</f>
        <v>23778.257568690002</v>
      </c>
      <c r="F119" s="3" t="s">
        <v>184</v>
      </c>
    </row>
    <row r="120" spans="1:6">
      <c r="B120" s="65"/>
      <c r="D120" s="65"/>
    </row>
  </sheetData>
  <mergeCells count="51">
    <mergeCell ref="A7:D7"/>
    <mergeCell ref="A1:D1"/>
    <mergeCell ref="A2:D2"/>
    <mergeCell ref="A4:D4"/>
    <mergeCell ref="A5:D5"/>
    <mergeCell ref="A6:D6"/>
    <mergeCell ref="C21:D21"/>
    <mergeCell ref="A8:D8"/>
    <mergeCell ref="C10:D10"/>
    <mergeCell ref="C11:D11"/>
    <mergeCell ref="C12:D12"/>
    <mergeCell ref="A14:D14"/>
    <mergeCell ref="C15:D15"/>
    <mergeCell ref="C16:D16"/>
    <mergeCell ref="A17:D17"/>
    <mergeCell ref="C18:D18"/>
    <mergeCell ref="C19:D19"/>
    <mergeCell ref="C20:D20"/>
    <mergeCell ref="C22:D22"/>
    <mergeCell ref="A24:D24"/>
    <mergeCell ref="A34:B34"/>
    <mergeCell ref="A36:D36"/>
    <mergeCell ref="A40:B40"/>
    <mergeCell ref="A50:B50"/>
    <mergeCell ref="A58:B58"/>
    <mergeCell ref="B59:C59"/>
    <mergeCell ref="A63:B63"/>
    <mergeCell ref="A65:C65"/>
    <mergeCell ref="A73:B73"/>
    <mergeCell ref="B92:C92"/>
    <mergeCell ref="A93:C93"/>
    <mergeCell ref="E104:J105"/>
    <mergeCell ref="A105:B105"/>
    <mergeCell ref="A83:B83"/>
    <mergeCell ref="A88:C88"/>
    <mergeCell ref="A90:C90"/>
    <mergeCell ref="A75:C75"/>
    <mergeCell ref="A107:D107"/>
    <mergeCell ref="A94:C94"/>
    <mergeCell ref="B108:C108"/>
    <mergeCell ref="A116:C116"/>
    <mergeCell ref="B109:C109"/>
    <mergeCell ref="A117:C117"/>
    <mergeCell ref="A118:C118"/>
    <mergeCell ref="A119:D119"/>
    <mergeCell ref="B110:C110"/>
    <mergeCell ref="B111:C111"/>
    <mergeCell ref="B112:C112"/>
    <mergeCell ref="B113:C113"/>
    <mergeCell ref="B114:C114"/>
    <mergeCell ref="B115:C115"/>
  </mergeCells>
  <conditionalFormatting sqref="E104:J105">
    <cfRule type="expression" dxfId="1" priority="1">
      <formula>$C$10="CURITIBA/PR"</formula>
    </cfRule>
  </conditionalFormatting>
  <pageMargins left="0.511811024" right="0.511811024" top="0.78740157499999996" bottom="0.78740157499999996" header="0.31496062000000002" footer="0.31496062000000002"/>
  <pageSetup paperSize="9" scale="66" orientation="portrait" r:id="rId1"/>
  <colBreaks count="1" manualBreakCount="1">
    <brk id="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E3F4D-BA33-4B36-BC16-FE8643BA5A44}">
  <dimension ref="A1:J120"/>
  <sheetViews>
    <sheetView tabSelected="1" view="pageBreakPreview" topLeftCell="A101" zoomScale="110" zoomScaleNormal="100" zoomScaleSheetLayoutView="110" workbookViewId="0">
      <selection activeCell="D126" sqref="D126"/>
    </sheetView>
  </sheetViews>
  <sheetFormatPr defaultColWidth="9.109375" defaultRowHeight="15.6"/>
  <cols>
    <col min="1" max="1" width="3.88671875" style="3" customWidth="1"/>
    <col min="2" max="2" width="68.33203125" style="3" customWidth="1"/>
    <col min="3" max="4" width="27.6640625" style="3" customWidth="1"/>
    <col min="5" max="5" width="18.6640625" style="3" customWidth="1"/>
    <col min="6" max="6" width="15" style="3" customWidth="1"/>
    <col min="7" max="7" width="12.109375" style="3" bestFit="1" customWidth="1"/>
    <col min="8" max="8" width="9.5546875" style="3" bestFit="1" customWidth="1"/>
    <col min="9" max="16384" width="9.109375" style="3"/>
  </cols>
  <sheetData>
    <row r="1" spans="1:5" customFormat="1" ht="52.35" customHeight="1">
      <c r="A1" s="273" t="s">
        <v>152</v>
      </c>
      <c r="B1" s="274"/>
      <c r="C1" s="274"/>
      <c r="D1" s="274"/>
    </row>
    <row r="2" spans="1:5" customFormat="1" ht="31.5" customHeight="1" thickBot="1">
      <c r="A2" s="275" t="s">
        <v>153</v>
      </c>
      <c r="B2" s="276"/>
      <c r="C2" s="276"/>
      <c r="D2" s="276"/>
    </row>
    <row r="3" spans="1:5" customFormat="1" ht="15" customHeight="1" thickBot="1"/>
    <row r="4" spans="1:5" ht="21" thickBot="1">
      <c r="A4" s="277" t="s">
        <v>169</v>
      </c>
      <c r="B4" s="278"/>
      <c r="C4" s="278"/>
      <c r="D4" s="279"/>
    </row>
    <row r="5" spans="1:5">
      <c r="A5" s="280" t="s">
        <v>3</v>
      </c>
      <c r="B5" s="281"/>
      <c r="C5" s="281"/>
      <c r="D5" s="282"/>
    </row>
    <row r="6" spans="1:5">
      <c r="A6" s="283" t="s">
        <v>160</v>
      </c>
      <c r="B6" s="284"/>
      <c r="C6" s="284"/>
      <c r="D6" s="285"/>
    </row>
    <row r="7" spans="1:5">
      <c r="A7" s="270" t="s">
        <v>161</v>
      </c>
      <c r="B7" s="271"/>
      <c r="C7" s="271"/>
      <c r="D7" s="272"/>
    </row>
    <row r="8" spans="1:5">
      <c r="A8" s="251" t="s">
        <v>164</v>
      </c>
      <c r="B8" s="252"/>
      <c r="C8" s="252"/>
      <c r="D8" s="253"/>
    </row>
    <row r="9" spans="1:5">
      <c r="A9" s="92"/>
      <c r="B9" s="63" t="s">
        <v>151</v>
      </c>
      <c r="C9" s="19"/>
      <c r="D9" s="18"/>
    </row>
    <row r="10" spans="1:5">
      <c r="A10" s="93"/>
      <c r="B10" s="112" t="s">
        <v>4</v>
      </c>
      <c r="C10" s="254" t="s">
        <v>162</v>
      </c>
      <c r="D10" s="255"/>
    </row>
    <row r="11" spans="1:5">
      <c r="A11" s="92"/>
      <c r="B11" s="111" t="s">
        <v>5</v>
      </c>
      <c r="C11" s="254" t="s">
        <v>188</v>
      </c>
      <c r="D11" s="255"/>
    </row>
    <row r="12" spans="1:5">
      <c r="A12" s="93"/>
      <c r="B12" s="112" t="s">
        <v>6</v>
      </c>
      <c r="C12" s="254">
        <v>12</v>
      </c>
      <c r="D12" s="255"/>
    </row>
    <row r="13" spans="1:5">
      <c r="A13" s="9"/>
      <c r="B13" s="10"/>
      <c r="C13" s="10"/>
      <c r="D13" s="11"/>
    </row>
    <row r="14" spans="1:5">
      <c r="A14" s="256" t="s">
        <v>7</v>
      </c>
      <c r="B14" s="257"/>
      <c r="C14" s="257"/>
      <c r="D14" s="258"/>
    </row>
    <row r="15" spans="1:5">
      <c r="A15" s="92"/>
      <c r="B15" s="111" t="s">
        <v>8</v>
      </c>
      <c r="C15" s="259" t="s">
        <v>149</v>
      </c>
      <c r="D15" s="260"/>
      <c r="E15" s="65"/>
    </row>
    <row r="16" spans="1:5">
      <c r="A16" s="92"/>
      <c r="B16" s="111" t="s">
        <v>9</v>
      </c>
      <c r="C16" s="259">
        <v>5</v>
      </c>
      <c r="D16" s="260"/>
    </row>
    <row r="17" spans="1:6">
      <c r="A17" s="261" t="s">
        <v>10</v>
      </c>
      <c r="B17" s="262"/>
      <c r="C17" s="262"/>
      <c r="D17" s="263"/>
    </row>
    <row r="18" spans="1:6">
      <c r="A18" s="12">
        <v>1</v>
      </c>
      <c r="B18" s="111" t="s">
        <v>11</v>
      </c>
      <c r="C18" s="264"/>
      <c r="D18" s="265"/>
    </row>
    <row r="19" spans="1:6">
      <c r="A19" s="14">
        <v>2</v>
      </c>
      <c r="B19" s="112" t="s">
        <v>12</v>
      </c>
      <c r="C19" s="266"/>
      <c r="D19" s="267"/>
    </row>
    <row r="20" spans="1:6">
      <c r="A20" s="12">
        <v>3</v>
      </c>
      <c r="B20" s="111" t="s">
        <v>122</v>
      </c>
      <c r="C20" s="268">
        <v>13328.38</v>
      </c>
      <c r="D20" s="269"/>
      <c r="E20" s="65"/>
    </row>
    <row r="21" spans="1:6">
      <c r="A21" s="14">
        <v>4</v>
      </c>
      <c r="B21" s="112" t="s">
        <v>13</v>
      </c>
      <c r="C21" s="249" t="str">
        <f>A4</f>
        <v>ANALISTA IV</v>
      </c>
      <c r="D21" s="250"/>
      <c r="E21" s="65"/>
    </row>
    <row r="22" spans="1:6" ht="16.2" thickBot="1">
      <c r="A22" s="38">
        <v>5</v>
      </c>
      <c r="B22" s="39" t="s">
        <v>14</v>
      </c>
      <c r="C22" s="247">
        <v>44986</v>
      </c>
      <c r="D22" s="248"/>
    </row>
    <row r="23" spans="1:6" s="37" customFormat="1" ht="16.2" thickBot="1">
      <c r="B23" s="64"/>
      <c r="C23" s="64"/>
      <c r="F23" s="64"/>
    </row>
    <row r="24" spans="1:6" ht="18">
      <c r="A24" s="224" t="s">
        <v>15</v>
      </c>
      <c r="B24" s="225"/>
      <c r="C24" s="225"/>
      <c r="D24" s="226"/>
      <c r="E24" s="65"/>
    </row>
    <row r="25" spans="1:6">
      <c r="A25" s="12">
        <v>1</v>
      </c>
      <c r="B25" s="111" t="s">
        <v>16</v>
      </c>
      <c r="C25" s="110" t="s">
        <v>148</v>
      </c>
      <c r="D25" s="113" t="s">
        <v>18</v>
      </c>
      <c r="E25" s="65"/>
    </row>
    <row r="26" spans="1:6">
      <c r="A26" s="93" t="s">
        <v>19</v>
      </c>
      <c r="B26" s="126" t="str">
        <f>"Salário Base "&amp;C26&amp;" horas semanais"</f>
        <v>Salário Base 40 horas semanais</v>
      </c>
      <c r="C26" s="122">
        <v>40</v>
      </c>
      <c r="D26" s="72">
        <f>ROUND((C20/40)*C26,2)</f>
        <v>13328.38</v>
      </c>
      <c r="E26" s="65"/>
    </row>
    <row r="27" spans="1:6">
      <c r="A27" s="92" t="s">
        <v>20</v>
      </c>
      <c r="B27" s="111" t="s">
        <v>143</v>
      </c>
      <c r="C27" s="121">
        <v>0</v>
      </c>
      <c r="D27" s="124">
        <f>ROUND(C27*1320,2)</f>
        <v>0</v>
      </c>
      <c r="E27" s="65"/>
    </row>
    <row r="28" spans="1:6">
      <c r="A28" s="93" t="s">
        <v>24</v>
      </c>
      <c r="B28" s="112" t="s">
        <v>21</v>
      </c>
      <c r="C28" s="121">
        <v>0</v>
      </c>
      <c r="D28" s="124">
        <f>ROUND((D26*C28),2)</f>
        <v>0</v>
      </c>
    </row>
    <row r="29" spans="1:6">
      <c r="A29" s="92" t="s">
        <v>25</v>
      </c>
      <c r="B29" s="111" t="s">
        <v>22</v>
      </c>
      <c r="C29" s="121">
        <v>0</v>
      </c>
      <c r="D29" s="5">
        <v>0</v>
      </c>
    </row>
    <row r="30" spans="1:6">
      <c r="A30" s="93" t="s">
        <v>26</v>
      </c>
      <c r="B30" s="112" t="s">
        <v>23</v>
      </c>
      <c r="C30" s="121">
        <v>0</v>
      </c>
      <c r="D30" s="72">
        <v>0</v>
      </c>
    </row>
    <row r="31" spans="1:6">
      <c r="A31" s="92" t="s">
        <v>29</v>
      </c>
      <c r="B31" s="111" t="s">
        <v>27</v>
      </c>
      <c r="C31" s="121">
        <v>0</v>
      </c>
      <c r="D31" s="5">
        <v>0</v>
      </c>
    </row>
    <row r="32" spans="1:6">
      <c r="A32" s="93" t="s">
        <v>30</v>
      </c>
      <c r="B32" s="112" t="s">
        <v>28</v>
      </c>
      <c r="C32" s="121">
        <v>0</v>
      </c>
      <c r="D32" s="124">
        <f>ROUND((C20*C32)/180*15,2)*15</f>
        <v>0</v>
      </c>
    </row>
    <row r="33" spans="1:9" ht="16.2" thickBot="1">
      <c r="A33" s="54" t="s">
        <v>31</v>
      </c>
      <c r="B33" s="58" t="s">
        <v>155</v>
      </c>
      <c r="C33" s="59" t="s">
        <v>156</v>
      </c>
      <c r="D33" s="55"/>
    </row>
    <row r="34" spans="1:9" ht="21" thickBot="1">
      <c r="A34" s="231" t="s">
        <v>110</v>
      </c>
      <c r="B34" s="234"/>
      <c r="C34" s="56"/>
      <c r="D34" s="57">
        <f>ROUND(SUM(D26:D33),2)</f>
        <v>13328.38</v>
      </c>
      <c r="E34" s="120"/>
      <c r="G34" s="65"/>
      <c r="H34" s="65"/>
    </row>
    <row r="35" spans="1:9" s="37" customFormat="1" ht="16.2" thickBot="1">
      <c r="B35" s="64"/>
      <c r="C35" s="64"/>
      <c r="G35" s="64"/>
    </row>
    <row r="36" spans="1:9" ht="18">
      <c r="A36" s="224" t="s">
        <v>33</v>
      </c>
      <c r="B36" s="225"/>
      <c r="C36" s="225"/>
      <c r="D36" s="226"/>
      <c r="G36" s="99"/>
    </row>
    <row r="37" spans="1:9">
      <c r="A37" s="92" t="s">
        <v>34</v>
      </c>
      <c r="B37" s="63" t="s">
        <v>35</v>
      </c>
      <c r="C37" s="111"/>
      <c r="D37" s="27" t="s">
        <v>18</v>
      </c>
      <c r="G37" s="65"/>
    </row>
    <row r="38" spans="1:9">
      <c r="A38" s="93" t="s">
        <v>19</v>
      </c>
      <c r="B38" s="62" t="s">
        <v>58</v>
      </c>
      <c r="C38" s="73">
        <f>ENCARGOS!$C$10</f>
        <v>8.3299999999999999E-2</v>
      </c>
      <c r="D38" s="72">
        <f>ROUND(($D$34*ENCARGOS!$C$10),2)</f>
        <v>1110.25</v>
      </c>
      <c r="I38" s="99"/>
    </row>
    <row r="39" spans="1:9" s="37" customFormat="1">
      <c r="A39" s="70" t="s">
        <v>20</v>
      </c>
      <c r="B39" s="66" t="s">
        <v>59</v>
      </c>
      <c r="C39" s="67">
        <f>ENCARGOS!C11</f>
        <v>2.7799999999999998E-2</v>
      </c>
      <c r="D39" s="46">
        <f>ROUND(($D$34*ENCARGOS!$C11),2)</f>
        <v>370.53</v>
      </c>
    </row>
    <row r="40" spans="1:9" ht="21" thickBot="1">
      <c r="A40" s="242" t="s">
        <v>115</v>
      </c>
      <c r="B40" s="244"/>
      <c r="C40" s="61">
        <f>SUM(C38:C39)</f>
        <v>0.1111</v>
      </c>
      <c r="D40" s="29">
        <f>ROUND(SUM(D38:D39),2)</f>
        <v>1480.78</v>
      </c>
    </row>
    <row r="41" spans="1:9" ht="31.2">
      <c r="A41" s="30" t="s">
        <v>60</v>
      </c>
      <c r="B41" s="31" t="s">
        <v>120</v>
      </c>
      <c r="C41" s="32" t="s">
        <v>17</v>
      </c>
      <c r="D41" s="33" t="s">
        <v>18</v>
      </c>
      <c r="E41" s="98"/>
    </row>
    <row r="42" spans="1:9">
      <c r="A42" s="93" t="s">
        <v>19</v>
      </c>
      <c r="B42" s="112" t="s">
        <v>2</v>
      </c>
      <c r="C42" s="73">
        <f>ENCARGOS!$C$14</f>
        <v>0.2</v>
      </c>
      <c r="D42" s="72">
        <f>($D$34+$D$40)*C42</f>
        <v>2961.8320000000003</v>
      </c>
      <c r="E42" s="65"/>
      <c r="F42" s="98"/>
    </row>
    <row r="43" spans="1:9" s="37" customFormat="1">
      <c r="A43" s="70" t="s">
        <v>20</v>
      </c>
      <c r="B43" s="71" t="s">
        <v>61</v>
      </c>
      <c r="C43" s="67">
        <f>ENCARGOS!$C$15</f>
        <v>2.5000000000000001E-2</v>
      </c>
      <c r="D43" s="46">
        <f t="shared" ref="D43:D49" si="0">($D$34+$D$40)*C43</f>
        <v>370.22900000000004</v>
      </c>
      <c r="E43" s="65"/>
    </row>
    <row r="44" spans="1:9">
      <c r="A44" s="93" t="s">
        <v>24</v>
      </c>
      <c r="B44" s="112" t="s">
        <v>62</v>
      </c>
      <c r="C44" s="73">
        <f>ENCARGOS!$C$16</f>
        <v>0.02</v>
      </c>
      <c r="D44" s="72">
        <f t="shared" si="0"/>
        <v>296.1832</v>
      </c>
      <c r="E44" s="65"/>
    </row>
    <row r="45" spans="1:9" s="37" customFormat="1">
      <c r="A45" s="70" t="s">
        <v>25</v>
      </c>
      <c r="B45" s="71" t="s">
        <v>63</v>
      </c>
      <c r="C45" s="67">
        <f>ENCARGOS!$C$17</f>
        <v>1.4999999999999999E-2</v>
      </c>
      <c r="D45" s="46">
        <f t="shared" si="0"/>
        <v>222.13739999999999</v>
      </c>
      <c r="E45" s="65"/>
    </row>
    <row r="46" spans="1:9">
      <c r="A46" s="93" t="s">
        <v>26</v>
      </c>
      <c r="B46" s="112" t="s">
        <v>64</v>
      </c>
      <c r="C46" s="73">
        <f>ENCARGOS!$C$18</f>
        <v>0.01</v>
      </c>
      <c r="D46" s="72">
        <f t="shared" si="0"/>
        <v>148.0916</v>
      </c>
      <c r="E46" s="65"/>
    </row>
    <row r="47" spans="1:9" s="37" customFormat="1">
      <c r="A47" s="70" t="s">
        <v>29</v>
      </c>
      <c r="B47" s="71" t="s">
        <v>65</v>
      </c>
      <c r="C47" s="67">
        <f>ENCARGOS!$C$19</f>
        <v>6.0000000000000001E-3</v>
      </c>
      <c r="D47" s="46">
        <f t="shared" si="0"/>
        <v>88.854960000000005</v>
      </c>
      <c r="E47" s="65"/>
    </row>
    <row r="48" spans="1:9">
      <c r="A48" s="93" t="s">
        <v>30</v>
      </c>
      <c r="B48" s="112" t="s">
        <v>66</v>
      </c>
      <c r="C48" s="73">
        <f>ENCARGOS!$C$20</f>
        <v>2E-3</v>
      </c>
      <c r="D48" s="72">
        <f t="shared" si="0"/>
        <v>29.618320000000001</v>
      </c>
      <c r="E48" s="65"/>
    </row>
    <row r="49" spans="1:7" s="37" customFormat="1">
      <c r="A49" s="70" t="s">
        <v>31</v>
      </c>
      <c r="B49" s="71" t="s">
        <v>1</v>
      </c>
      <c r="C49" s="67">
        <f>ENCARGOS!$C$21</f>
        <v>0.08</v>
      </c>
      <c r="D49" s="46">
        <f t="shared" si="0"/>
        <v>1184.7328</v>
      </c>
      <c r="E49" s="65"/>
    </row>
    <row r="50" spans="1:7" ht="21" thickBot="1">
      <c r="A50" s="242" t="s">
        <v>115</v>
      </c>
      <c r="B50" s="243"/>
      <c r="C50" s="61">
        <f>SUM(C42:C49)</f>
        <v>0.35800000000000004</v>
      </c>
      <c r="D50" s="29">
        <f>SUM(D42:D49)</f>
        <v>5301.6792800000003</v>
      </c>
      <c r="E50" s="65"/>
      <c r="F50" s="65"/>
      <c r="G50" s="97"/>
    </row>
    <row r="51" spans="1:7">
      <c r="A51" s="30" t="s">
        <v>54</v>
      </c>
      <c r="B51" s="34" t="s">
        <v>55</v>
      </c>
      <c r="C51" s="32" t="s">
        <v>17</v>
      </c>
      <c r="D51" s="33" t="s">
        <v>18</v>
      </c>
    </row>
    <row r="52" spans="1:7">
      <c r="A52" s="93" t="s">
        <v>19</v>
      </c>
      <c r="B52" s="127" t="s">
        <v>67</v>
      </c>
      <c r="C52" s="123">
        <v>0</v>
      </c>
      <c r="D52" s="124">
        <f>ROUND((0*2*22)-((-1*C52)*D26),2)</f>
        <v>0</v>
      </c>
      <c r="F52" s="65"/>
    </row>
    <row r="53" spans="1:7">
      <c r="A53" s="92" t="s">
        <v>20</v>
      </c>
      <c r="B53" s="127" t="s">
        <v>144</v>
      </c>
      <c r="C53" s="125">
        <v>0</v>
      </c>
      <c r="D53" s="124">
        <f>ROUND((756*1)*(100%+C53),2)</f>
        <v>756</v>
      </c>
      <c r="F53" s="65"/>
    </row>
    <row r="54" spans="1:7">
      <c r="A54" s="92" t="s">
        <v>24</v>
      </c>
      <c r="B54" s="66" t="s">
        <v>180</v>
      </c>
      <c r="C54" s="193"/>
      <c r="D54" s="46">
        <v>371</v>
      </c>
      <c r="E54" s="65"/>
      <c r="F54" s="97"/>
    </row>
    <row r="55" spans="1:7">
      <c r="A55" s="92" t="s">
        <v>25</v>
      </c>
      <c r="B55" s="63" t="s">
        <v>185</v>
      </c>
      <c r="C55" s="6"/>
      <c r="D55" s="5">
        <v>75.5</v>
      </c>
      <c r="E55" s="65"/>
      <c r="F55" s="65"/>
    </row>
    <row r="56" spans="1:7">
      <c r="A56" s="130" t="s">
        <v>26</v>
      </c>
      <c r="B56" s="63" t="s">
        <v>186</v>
      </c>
      <c r="C56" s="6"/>
      <c r="D56" s="131">
        <v>25</v>
      </c>
      <c r="E56" s="65"/>
      <c r="F56" s="65"/>
    </row>
    <row r="57" spans="1:7">
      <c r="A57" s="92" t="s">
        <v>29</v>
      </c>
      <c r="B57" s="63"/>
      <c r="C57" s="6"/>
      <c r="D57" s="5"/>
      <c r="E57" s="65"/>
      <c r="F57" s="65"/>
    </row>
    <row r="58" spans="1:7" ht="21" thickBot="1">
      <c r="A58" s="242" t="s">
        <v>115</v>
      </c>
      <c r="B58" s="244"/>
      <c r="C58" s="28"/>
      <c r="D58" s="29">
        <f>SUM(D52:D57)</f>
        <v>1227.5</v>
      </c>
    </row>
    <row r="59" spans="1:7" ht="15.75" customHeight="1">
      <c r="A59" s="35">
        <v>2</v>
      </c>
      <c r="B59" s="245" t="s">
        <v>68</v>
      </c>
      <c r="C59" s="246"/>
      <c r="D59" s="36" t="s">
        <v>18</v>
      </c>
    </row>
    <row r="60" spans="1:7">
      <c r="A60" s="15" t="s">
        <v>34</v>
      </c>
      <c r="B60" s="20" t="s">
        <v>35</v>
      </c>
      <c r="C60" s="22"/>
      <c r="D60" s="16">
        <f>D40</f>
        <v>1480.78</v>
      </c>
    </row>
    <row r="61" spans="1:7">
      <c r="A61" s="7" t="s">
        <v>60</v>
      </c>
      <c r="B61" s="21" t="s">
        <v>69</v>
      </c>
      <c r="C61" s="23"/>
      <c r="D61" s="8">
        <f>D50</f>
        <v>5301.6792800000003</v>
      </c>
    </row>
    <row r="62" spans="1:7" ht="16.2" thickBot="1">
      <c r="A62" s="50" t="s">
        <v>54</v>
      </c>
      <c r="B62" s="51" t="s">
        <v>55</v>
      </c>
      <c r="C62" s="52"/>
      <c r="D62" s="53">
        <f>D58</f>
        <v>1227.5</v>
      </c>
    </row>
    <row r="63" spans="1:7" ht="21" thickBot="1">
      <c r="A63" s="231" t="s">
        <v>111</v>
      </c>
      <c r="B63" s="232"/>
      <c r="C63" s="49"/>
      <c r="D63" s="57">
        <f>SUM(D60:D62)</f>
        <v>8009.95928</v>
      </c>
    </row>
    <row r="64" spans="1:7" s="37" customFormat="1" ht="16.2" thickBot="1"/>
    <row r="65" spans="1:5" ht="18">
      <c r="A65" s="240" t="s">
        <v>70</v>
      </c>
      <c r="B65" s="241"/>
      <c r="C65" s="241"/>
      <c r="D65" s="40"/>
    </row>
    <row r="66" spans="1:5">
      <c r="A66" s="12">
        <v>3</v>
      </c>
      <c r="B66" s="63" t="s">
        <v>71</v>
      </c>
      <c r="C66" s="45" t="s">
        <v>17</v>
      </c>
      <c r="D66" s="27" t="s">
        <v>18</v>
      </c>
    </row>
    <row r="67" spans="1:5">
      <c r="A67" s="93" t="s">
        <v>19</v>
      </c>
      <c r="B67" s="62" t="s">
        <v>72</v>
      </c>
      <c r="C67" s="73">
        <f>ENCARGOS!C24</f>
        <v>4.1999999999999997E-3</v>
      </c>
      <c r="D67" s="72">
        <f>C67*$D$34</f>
        <v>55.979195999999995</v>
      </c>
    </row>
    <row r="68" spans="1:5">
      <c r="A68" s="92" t="s">
        <v>20</v>
      </c>
      <c r="B68" s="66" t="s">
        <v>73</v>
      </c>
      <c r="C68" s="67">
        <f>ENCARGOS!C25</f>
        <v>2.9999999999999997E-4</v>
      </c>
      <c r="D68" s="5">
        <f t="shared" ref="D68:D72" si="1">C68*$D$34</f>
        <v>3.9985139999999992</v>
      </c>
    </row>
    <row r="69" spans="1:5">
      <c r="A69" s="93" t="s">
        <v>24</v>
      </c>
      <c r="B69" s="62" t="s">
        <v>146</v>
      </c>
      <c r="C69" s="73">
        <f>ENCARGOS!C26</f>
        <v>3.44E-2</v>
      </c>
      <c r="D69" s="72">
        <f t="shared" si="1"/>
        <v>458.49627199999998</v>
      </c>
    </row>
    <row r="70" spans="1:5">
      <c r="A70" s="92" t="s">
        <v>25</v>
      </c>
      <c r="B70" s="66" t="s">
        <v>74</v>
      </c>
      <c r="C70" s="67">
        <f>ENCARGOS!C27</f>
        <v>1.9400000000000001E-2</v>
      </c>
      <c r="D70" s="5">
        <f t="shared" si="1"/>
        <v>258.57057199999997</v>
      </c>
    </row>
    <row r="71" spans="1:5">
      <c r="A71" s="93" t="s">
        <v>26</v>
      </c>
      <c r="B71" s="62" t="s">
        <v>75</v>
      </c>
      <c r="C71" s="73">
        <f>ENCARGOS!C28</f>
        <v>7.1999999999999998E-3</v>
      </c>
      <c r="D71" s="72">
        <f t="shared" si="1"/>
        <v>95.964335999999989</v>
      </c>
    </row>
    <row r="72" spans="1:5" ht="16.2" thickBot="1">
      <c r="A72" s="54" t="s">
        <v>29</v>
      </c>
      <c r="B72" s="68" t="s">
        <v>147</v>
      </c>
      <c r="C72" s="69">
        <f>ENCARGOS!C29</f>
        <v>5.9999999999999995E-4</v>
      </c>
      <c r="D72" s="5">
        <f t="shared" si="1"/>
        <v>7.9970279999999985</v>
      </c>
    </row>
    <row r="73" spans="1:5" ht="21" thickBot="1">
      <c r="A73" s="231" t="s">
        <v>112</v>
      </c>
      <c r="B73" s="232"/>
      <c r="C73" s="60">
        <f>SUM(C67:C72)</f>
        <v>6.6100000000000006E-2</v>
      </c>
      <c r="D73" s="57">
        <f>ROUND(SUM(D67:D72),2)</f>
        <v>881.01</v>
      </c>
    </row>
    <row r="74" spans="1:5" s="37" customFormat="1" ht="27.75" customHeight="1" thickBot="1">
      <c r="D74" s="64"/>
    </row>
    <row r="75" spans="1:5" ht="18">
      <c r="A75" s="240" t="s">
        <v>76</v>
      </c>
      <c r="B75" s="241"/>
      <c r="C75" s="241"/>
      <c r="D75" s="40"/>
    </row>
    <row r="76" spans="1:5">
      <c r="A76" s="92" t="s">
        <v>77</v>
      </c>
      <c r="B76" s="63" t="s">
        <v>78</v>
      </c>
      <c r="C76" s="26" t="s">
        <v>17</v>
      </c>
      <c r="D76" s="27" t="s">
        <v>18</v>
      </c>
    </row>
    <row r="77" spans="1:5">
      <c r="A77" s="93" t="s">
        <v>19</v>
      </c>
      <c r="B77" s="62" t="s">
        <v>79</v>
      </c>
      <c r="C77" s="73">
        <f>ENCARGOS!$C33</f>
        <v>8.3299999999999999E-2</v>
      </c>
      <c r="D77" s="72">
        <f t="shared" ref="D77:D82" si="2">ROUND(($D$34*C77),2)</f>
        <v>1110.25</v>
      </c>
      <c r="E77" s="120"/>
    </row>
    <row r="78" spans="1:5">
      <c r="A78" s="70" t="s">
        <v>20</v>
      </c>
      <c r="B78" s="66" t="s">
        <v>135</v>
      </c>
      <c r="C78" s="67">
        <f>ENCARGOS!$C34</f>
        <v>1.66E-2</v>
      </c>
      <c r="D78" s="46">
        <f t="shared" si="2"/>
        <v>221.25</v>
      </c>
      <c r="E78" s="120"/>
    </row>
    <row r="79" spans="1:5" s="37" customFormat="1">
      <c r="A79" s="93" t="s">
        <v>24</v>
      </c>
      <c r="B79" s="62" t="s">
        <v>80</v>
      </c>
      <c r="C79" s="73">
        <f>ENCARGOS!$C35</f>
        <v>4.0000000000000002E-4</v>
      </c>
      <c r="D79" s="72">
        <f t="shared" si="2"/>
        <v>5.33</v>
      </c>
      <c r="E79" s="120"/>
    </row>
    <row r="80" spans="1:5">
      <c r="A80" s="70" t="s">
        <v>25</v>
      </c>
      <c r="B80" s="66" t="s">
        <v>81</v>
      </c>
      <c r="C80" s="67">
        <f>ENCARGOS!$C36</f>
        <v>1.5E-3</v>
      </c>
      <c r="D80" s="46">
        <f t="shared" si="2"/>
        <v>19.989999999999998</v>
      </c>
      <c r="E80" s="120"/>
    </row>
    <row r="81" spans="1:5" s="37" customFormat="1">
      <c r="A81" s="94" t="s">
        <v>26</v>
      </c>
      <c r="B81" s="95" t="s">
        <v>78</v>
      </c>
      <c r="C81" s="73">
        <f>ENCARGOS!$C37</f>
        <v>2.8E-3</v>
      </c>
      <c r="D81" s="72">
        <f t="shared" si="2"/>
        <v>37.32</v>
      </c>
      <c r="E81" s="120"/>
    </row>
    <row r="82" spans="1:5">
      <c r="A82" s="70" t="s">
        <v>29</v>
      </c>
      <c r="B82" s="66" t="s">
        <v>136</v>
      </c>
      <c r="C82" s="67">
        <f>ENCARGOS!$C38</f>
        <v>2E-3</v>
      </c>
      <c r="D82" s="46">
        <f t="shared" si="2"/>
        <v>26.66</v>
      </c>
      <c r="E82" s="120"/>
    </row>
    <row r="83" spans="1:5" ht="21" thickBot="1">
      <c r="A83" s="238" t="s">
        <v>115</v>
      </c>
      <c r="B83" s="239"/>
      <c r="C83" s="102">
        <f>SUM(C77:C82)</f>
        <v>0.1066</v>
      </c>
      <c r="D83" s="103">
        <f>ROUND(SUM(D77:D82),2)</f>
        <v>1420.8</v>
      </c>
    </row>
    <row r="84" spans="1:5">
      <c r="A84" s="92"/>
      <c r="B84" s="63"/>
      <c r="C84" s="44"/>
      <c r="D84" s="4"/>
    </row>
    <row r="85" spans="1:5">
      <c r="A85" s="14">
        <v>4</v>
      </c>
      <c r="B85" s="24" t="s">
        <v>84</v>
      </c>
      <c r="C85" s="25"/>
      <c r="D85" s="17" t="s">
        <v>18</v>
      </c>
    </row>
    <row r="86" spans="1:5">
      <c r="A86" s="92" t="s">
        <v>77</v>
      </c>
      <c r="B86" s="63" t="s">
        <v>85</v>
      </c>
      <c r="C86" s="44"/>
      <c r="D86" s="5">
        <f>D83</f>
        <v>1420.8</v>
      </c>
    </row>
    <row r="87" spans="1:5" ht="16.2" thickBot="1">
      <c r="A87" s="94" t="s">
        <v>82</v>
      </c>
      <c r="B87" s="95" t="s">
        <v>83</v>
      </c>
      <c r="C87" s="47"/>
      <c r="D87" s="48">
        <f>D32</f>
        <v>0</v>
      </c>
    </row>
    <row r="88" spans="1:5" ht="21" thickBot="1">
      <c r="A88" s="231" t="s">
        <v>114</v>
      </c>
      <c r="B88" s="232"/>
      <c r="C88" s="234"/>
      <c r="D88" s="57">
        <f>ROUND(SUM(D86:D87),2)</f>
        <v>1420.8</v>
      </c>
    </row>
    <row r="89" spans="1:5" s="37" customFormat="1" ht="27.75" customHeight="1" thickBot="1">
      <c r="B89" s="43"/>
    </row>
    <row r="90" spans="1:5" ht="18">
      <c r="A90" s="227" t="s">
        <v>86</v>
      </c>
      <c r="B90" s="228"/>
      <c r="C90" s="228"/>
      <c r="D90" s="41"/>
    </row>
    <row r="91" spans="1:5">
      <c r="A91" s="12">
        <v>3</v>
      </c>
      <c r="B91" s="63" t="s">
        <v>87</v>
      </c>
      <c r="C91" s="44"/>
      <c r="D91" s="27" t="s">
        <v>18</v>
      </c>
    </row>
    <row r="92" spans="1:5" ht="16.2" thickBot="1">
      <c r="A92" s="128" t="s">
        <v>19</v>
      </c>
      <c r="B92" s="233" t="s">
        <v>159</v>
      </c>
      <c r="C92" s="233"/>
      <c r="D92" s="129">
        <f>15/12</f>
        <v>1.25</v>
      </c>
      <c r="E92" s="65"/>
    </row>
    <row r="93" spans="1:5" ht="21" thickBot="1">
      <c r="A93" s="231" t="s">
        <v>115</v>
      </c>
      <c r="B93" s="232"/>
      <c r="C93" s="234"/>
      <c r="D93" s="57">
        <f>ROUND(SUM(D92:D92),2)</f>
        <v>1.25</v>
      </c>
    </row>
    <row r="94" spans="1:5" ht="18">
      <c r="A94" s="227" t="s">
        <v>88</v>
      </c>
      <c r="B94" s="228"/>
      <c r="C94" s="228"/>
      <c r="D94" s="42"/>
      <c r="E94" s="65"/>
    </row>
    <row r="95" spans="1:5">
      <c r="A95" s="12">
        <v>5</v>
      </c>
      <c r="B95" s="111" t="s">
        <v>89</v>
      </c>
      <c r="C95" s="26" t="s">
        <v>17</v>
      </c>
      <c r="D95" s="27" t="s">
        <v>18</v>
      </c>
    </row>
    <row r="96" spans="1:5">
      <c r="A96" s="93" t="s">
        <v>19</v>
      </c>
      <c r="B96" s="112" t="s">
        <v>90</v>
      </c>
      <c r="C96" s="123">
        <f>'ASSISTENTE 1'!C96</f>
        <v>0.06</v>
      </c>
      <c r="D96" s="16">
        <f>ROUND((D114)*(C96),2)</f>
        <v>1418.48</v>
      </c>
      <c r="E96" s="65"/>
    </row>
    <row r="97" spans="1:10">
      <c r="A97" s="92" t="s">
        <v>20</v>
      </c>
      <c r="B97" s="111" t="s">
        <v>91</v>
      </c>
      <c r="C97" s="123">
        <v>2.5533186006586241E-2</v>
      </c>
      <c r="D97" s="5">
        <f>ROUND((D96+D114)*(C97),2)</f>
        <v>639.86</v>
      </c>
      <c r="E97" s="65"/>
    </row>
    <row r="98" spans="1:10">
      <c r="A98" s="93" t="s">
        <v>24</v>
      </c>
      <c r="B98" s="112" t="s">
        <v>92</v>
      </c>
      <c r="C98" s="73"/>
      <c r="D98" s="72"/>
      <c r="E98" s="65"/>
    </row>
    <row r="99" spans="1:10">
      <c r="A99" s="92"/>
      <c r="B99" s="111" t="s">
        <v>93</v>
      </c>
      <c r="C99" s="6"/>
      <c r="D99" s="5"/>
      <c r="E99" s="65"/>
    </row>
    <row r="100" spans="1:10">
      <c r="A100" s="93"/>
      <c r="B100" s="112" t="s">
        <v>94</v>
      </c>
      <c r="C100" s="182">
        <f>'Calculo SPED'!F16</f>
        <v>1.7202073069227553E-3</v>
      </c>
      <c r="D100" s="72">
        <f>ROUND((D114+D96+D97)*C100,2)</f>
        <v>44.21</v>
      </c>
    </row>
    <row r="101" spans="1:10">
      <c r="A101" s="92"/>
      <c r="B101" s="111" t="s">
        <v>95</v>
      </c>
      <c r="C101" s="183">
        <f>'Calculo SPED'!I16</f>
        <v>7.9584113825690948E-3</v>
      </c>
      <c r="D101" s="5">
        <f>ROUND((D114+D96+D97)*C101,2)</f>
        <v>204.53</v>
      </c>
    </row>
    <row r="102" spans="1:10">
      <c r="A102" s="93"/>
      <c r="B102" s="112" t="s">
        <v>96</v>
      </c>
      <c r="C102" s="73"/>
      <c r="D102" s="72"/>
    </row>
    <row r="103" spans="1:10">
      <c r="A103" s="92"/>
      <c r="B103" s="111" t="s">
        <v>97</v>
      </c>
      <c r="C103" s="6"/>
      <c r="D103" s="5"/>
      <c r="E103" s="65"/>
    </row>
    <row r="104" spans="1:10">
      <c r="A104" s="93"/>
      <c r="B104" s="112" t="s">
        <v>116</v>
      </c>
      <c r="C104" s="73">
        <v>0.05</v>
      </c>
      <c r="D104" s="72">
        <f>IF(C10="CURITIBA/PR",(D92+D96+D97+D100+D101)*C104,(D114+D96+D97+D100+D101+D102+D103)*C104)</f>
        <v>1297.424</v>
      </c>
      <c r="E104" s="235" t="s">
        <v>129</v>
      </c>
      <c r="F104" s="235"/>
      <c r="G104" s="235"/>
      <c r="H104" s="235"/>
      <c r="I104" s="235"/>
      <c r="J104" s="235"/>
    </row>
    <row r="105" spans="1:10" ht="33" customHeight="1" thickBot="1">
      <c r="A105" s="236" t="s">
        <v>113</v>
      </c>
      <c r="B105" s="237"/>
      <c r="C105" s="61">
        <f>SUM(C96:C104)</f>
        <v>0.14521180469607808</v>
      </c>
      <c r="D105" s="29">
        <f>ROUND(SUM(D96:D104),2)</f>
        <v>3604.5</v>
      </c>
      <c r="E105" s="235"/>
      <c r="F105" s="235"/>
      <c r="G105" s="235"/>
      <c r="H105" s="235"/>
      <c r="I105" s="235"/>
      <c r="J105" s="235"/>
    </row>
    <row r="106" spans="1:10" s="37" customFormat="1" ht="27.75" customHeight="1" thickBot="1"/>
    <row r="107" spans="1:10" ht="18">
      <c r="A107" s="224" t="s">
        <v>98</v>
      </c>
      <c r="B107" s="225"/>
      <c r="C107" s="225"/>
      <c r="D107" s="226"/>
    </row>
    <row r="108" spans="1:10">
      <c r="A108" s="92"/>
      <c r="B108" s="219" t="s">
        <v>99</v>
      </c>
      <c r="C108" s="219"/>
      <c r="D108" s="113" t="s">
        <v>18</v>
      </c>
    </row>
    <row r="109" spans="1:10">
      <c r="A109" s="93" t="s">
        <v>19</v>
      </c>
      <c r="B109" s="220" t="s">
        <v>100</v>
      </c>
      <c r="C109" s="220"/>
      <c r="D109" s="72">
        <f>D34</f>
        <v>13328.38</v>
      </c>
    </row>
    <row r="110" spans="1:10">
      <c r="A110" s="92" t="s">
        <v>20</v>
      </c>
      <c r="B110" s="219" t="s">
        <v>101</v>
      </c>
      <c r="C110" s="219"/>
      <c r="D110" s="5">
        <f>D63</f>
        <v>8009.95928</v>
      </c>
    </row>
    <row r="111" spans="1:10">
      <c r="A111" s="93" t="s">
        <v>24</v>
      </c>
      <c r="B111" s="220" t="s">
        <v>102</v>
      </c>
      <c r="C111" s="220"/>
      <c r="D111" s="72">
        <f>D73</f>
        <v>881.01</v>
      </c>
    </row>
    <row r="112" spans="1:10">
      <c r="A112" s="92" t="s">
        <v>25</v>
      </c>
      <c r="B112" s="221" t="s">
        <v>103</v>
      </c>
      <c r="C112" s="221"/>
      <c r="D112" s="5">
        <f>D88</f>
        <v>1420.8</v>
      </c>
    </row>
    <row r="113" spans="1:6">
      <c r="A113" s="93" t="s">
        <v>26</v>
      </c>
      <c r="B113" s="222" t="s">
        <v>104</v>
      </c>
      <c r="C113" s="222"/>
      <c r="D113" s="72">
        <f>D93</f>
        <v>1.25</v>
      </c>
    </row>
    <row r="114" spans="1:6">
      <c r="A114" s="92"/>
      <c r="B114" s="223" t="s">
        <v>105</v>
      </c>
      <c r="C114" s="223"/>
      <c r="D114" s="5">
        <f>ROUND(SUM(D109:D113),2)</f>
        <v>23641.4</v>
      </c>
    </row>
    <row r="115" spans="1:6">
      <c r="A115" s="93" t="s">
        <v>29</v>
      </c>
      <c r="B115" s="222" t="s">
        <v>106</v>
      </c>
      <c r="C115" s="222"/>
      <c r="D115" s="72">
        <f>D105</f>
        <v>3604.5</v>
      </c>
    </row>
    <row r="116" spans="1:6" ht="20.399999999999999">
      <c r="A116" s="229" t="s">
        <v>117</v>
      </c>
      <c r="B116" s="230"/>
      <c r="C116" s="230"/>
      <c r="D116" s="13">
        <f>D114+D115</f>
        <v>27245.9</v>
      </c>
      <c r="E116" s="65">
        <v>31389.61</v>
      </c>
    </row>
    <row r="117" spans="1:6" ht="20.399999999999999">
      <c r="A117" s="212" t="s">
        <v>118</v>
      </c>
      <c r="B117" s="213"/>
      <c r="C117" s="213"/>
      <c r="D117" s="13">
        <f>D116*C16</f>
        <v>136229.5</v>
      </c>
      <c r="E117" s="189">
        <v>0.13200899999999999</v>
      </c>
      <c r="F117" s="3" t="s">
        <v>183</v>
      </c>
    </row>
    <row r="118" spans="1:6" ht="20.399999999999999">
      <c r="A118" s="214" t="s">
        <v>119</v>
      </c>
      <c r="B118" s="215"/>
      <c r="C118" s="215"/>
      <c r="D118" s="100">
        <f>D117*C12</f>
        <v>1634754</v>
      </c>
      <c r="E118" s="65">
        <f>E116*E117</f>
        <v>4143.7110264899993</v>
      </c>
    </row>
    <row r="119" spans="1:6" ht="18.600000000000001" thickBot="1">
      <c r="A119" s="216">
        <f>D1</f>
        <v>0</v>
      </c>
      <c r="B119" s="217"/>
      <c r="C119" s="217"/>
      <c r="D119" s="218"/>
      <c r="E119" s="65">
        <f>E116-E118</f>
        <v>27245.89897351</v>
      </c>
      <c r="F119" s="3" t="s">
        <v>184</v>
      </c>
    </row>
    <row r="120" spans="1:6">
      <c r="B120" s="65"/>
      <c r="D120" s="65"/>
    </row>
  </sheetData>
  <mergeCells count="51">
    <mergeCell ref="A118:C118"/>
    <mergeCell ref="A119:D119"/>
    <mergeCell ref="B110:C110"/>
    <mergeCell ref="B111:C111"/>
    <mergeCell ref="B112:C112"/>
    <mergeCell ref="B113:C113"/>
    <mergeCell ref="B114:C114"/>
    <mergeCell ref="B115:C115"/>
    <mergeCell ref="A107:D107"/>
    <mergeCell ref="B108:C108"/>
    <mergeCell ref="A116:C116"/>
    <mergeCell ref="B109:C109"/>
    <mergeCell ref="A117:C117"/>
    <mergeCell ref="E104:J105"/>
    <mergeCell ref="A105:B105"/>
    <mergeCell ref="A93:C93"/>
    <mergeCell ref="A94:C94"/>
    <mergeCell ref="A63:B63"/>
    <mergeCell ref="A65:C65"/>
    <mergeCell ref="A73:B73"/>
    <mergeCell ref="A75:C75"/>
    <mergeCell ref="A83:B83"/>
    <mergeCell ref="A90:C90"/>
    <mergeCell ref="B92:C92"/>
    <mergeCell ref="A88:C88"/>
    <mergeCell ref="A36:D36"/>
    <mergeCell ref="A40:B40"/>
    <mergeCell ref="A50:B50"/>
    <mergeCell ref="A58:B58"/>
    <mergeCell ref="B59:C59"/>
    <mergeCell ref="C18:D18"/>
    <mergeCell ref="C19:D19"/>
    <mergeCell ref="C20:D20"/>
    <mergeCell ref="C21:D21"/>
    <mergeCell ref="C22:D22"/>
    <mergeCell ref="A34:B34"/>
    <mergeCell ref="A1:D1"/>
    <mergeCell ref="A2:D2"/>
    <mergeCell ref="C10:D10"/>
    <mergeCell ref="A4:D4"/>
    <mergeCell ref="A5:D5"/>
    <mergeCell ref="A6:D6"/>
    <mergeCell ref="A7:D7"/>
    <mergeCell ref="A8:D8"/>
    <mergeCell ref="A24:D24"/>
    <mergeCell ref="C11:D11"/>
    <mergeCell ref="C12:D12"/>
    <mergeCell ref="A14:D14"/>
    <mergeCell ref="C15:D15"/>
    <mergeCell ref="C16:D16"/>
    <mergeCell ref="A17:D17"/>
  </mergeCells>
  <conditionalFormatting sqref="E104:J105">
    <cfRule type="expression" dxfId="0" priority="1">
      <formula>$C$10="CURITIBA/PR"</formula>
    </cfRule>
  </conditionalFormatting>
  <pageMargins left="0.511811024" right="0.511811024" top="0.78740157499999996" bottom="0.78740157499999996" header="0.31496062000000002" footer="0.31496062000000002"/>
  <pageSetup paperSize="9" scale="64" orientation="portrait" r:id="rId1"/>
  <rowBreaks count="1" manualBreakCount="1">
    <brk id="58" max="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9D3EE-5E51-4B9D-BE46-E27589A61409}">
  <dimension ref="B1:I17"/>
  <sheetViews>
    <sheetView view="pageBreakPreview" zoomScale="120" zoomScaleNormal="100" zoomScaleSheetLayoutView="120" workbookViewId="0">
      <selection activeCell="H20" sqref="H20"/>
    </sheetView>
  </sheetViews>
  <sheetFormatPr defaultRowHeight="14.4"/>
  <cols>
    <col min="3" max="3" width="16.6640625" bestFit="1" customWidth="1"/>
    <col min="4" max="4" width="1.109375" customWidth="1"/>
    <col min="5" max="5" width="13.44140625" bestFit="1" customWidth="1"/>
    <col min="7" max="7" width="1.44140625" customWidth="1"/>
    <col min="8" max="8" width="13.88671875" bestFit="1" customWidth="1"/>
    <col min="10" max="10" width="3.44140625" customWidth="1"/>
  </cols>
  <sheetData>
    <row r="1" spans="2:9" ht="15" thickBot="1"/>
    <row r="2" spans="2:9" ht="15" thickBot="1">
      <c r="B2" s="286" t="s">
        <v>171</v>
      </c>
      <c r="C2" s="287"/>
      <c r="D2" s="288"/>
      <c r="E2" s="288"/>
      <c r="F2" s="288"/>
      <c r="G2" s="288"/>
      <c r="H2" s="288"/>
      <c r="I2" s="289"/>
    </row>
    <row r="3" spans="2:9" ht="43.8" thickBot="1">
      <c r="B3" s="290" t="s">
        <v>172</v>
      </c>
      <c r="C3" s="291"/>
      <c r="D3" s="160"/>
      <c r="E3" s="159" t="s">
        <v>178</v>
      </c>
      <c r="F3" s="162" t="s">
        <v>173</v>
      </c>
      <c r="G3" s="160"/>
      <c r="H3" s="161" t="s">
        <v>179</v>
      </c>
      <c r="I3" s="162" t="s">
        <v>174</v>
      </c>
    </row>
    <row r="4" spans="2:9">
      <c r="B4" s="179">
        <v>44958</v>
      </c>
      <c r="C4" s="133">
        <v>658614.93000000005</v>
      </c>
      <c r="D4" s="163"/>
      <c r="E4" s="164">
        <v>1305.01</v>
      </c>
      <c r="F4" s="165">
        <f t="shared" ref="F4:F9" si="0">+E4/C4</f>
        <v>1.9814461236097396E-3</v>
      </c>
      <c r="G4" s="163"/>
      <c r="H4" s="164">
        <v>5992.06</v>
      </c>
      <c r="I4" s="165">
        <f t="shared" ref="I4:I9" si="1">+H4/C4</f>
        <v>9.0979717085976162E-3</v>
      </c>
    </row>
    <row r="5" spans="2:9">
      <c r="B5" s="166">
        <v>44986</v>
      </c>
      <c r="C5" s="135">
        <v>570056.76</v>
      </c>
      <c r="D5" s="163"/>
      <c r="E5" s="167">
        <v>60.8</v>
      </c>
      <c r="F5" s="168">
        <f t="shared" si="0"/>
        <v>1.066560459698785E-4</v>
      </c>
      <c r="G5" s="163"/>
      <c r="H5" s="167">
        <v>477.76</v>
      </c>
      <c r="I5" s="168">
        <f t="shared" si="1"/>
        <v>8.3809198227909791E-4</v>
      </c>
    </row>
    <row r="6" spans="2:9">
      <c r="B6" s="166">
        <v>45017</v>
      </c>
      <c r="C6" s="135">
        <v>565339.84</v>
      </c>
      <c r="D6" s="163"/>
      <c r="E6" s="167">
        <v>47.64</v>
      </c>
      <c r="F6" s="168">
        <f t="shared" si="0"/>
        <v>8.4267898048720577E-5</v>
      </c>
      <c r="G6" s="163"/>
      <c r="H6" s="167">
        <v>198.8</v>
      </c>
      <c r="I6" s="168">
        <f t="shared" si="1"/>
        <v>3.516468961394973E-4</v>
      </c>
    </row>
    <row r="7" spans="2:9">
      <c r="B7" s="166">
        <v>45047</v>
      </c>
      <c r="C7" s="135">
        <v>605069.46</v>
      </c>
      <c r="D7" s="163"/>
      <c r="E7" s="167">
        <v>448.59</v>
      </c>
      <c r="F7" s="168">
        <f t="shared" si="0"/>
        <v>7.4138595591983776E-4</v>
      </c>
      <c r="G7" s="163"/>
      <c r="H7" s="167">
        <v>2045.12</v>
      </c>
      <c r="I7" s="168">
        <f t="shared" si="1"/>
        <v>3.3799755816464445E-3</v>
      </c>
    </row>
    <row r="8" spans="2:9">
      <c r="B8" s="166">
        <v>45078</v>
      </c>
      <c r="C8" s="135">
        <v>686549.09</v>
      </c>
      <c r="D8" s="163"/>
      <c r="E8" s="167">
        <v>3107.28</v>
      </c>
      <c r="F8" s="168">
        <f t="shared" si="0"/>
        <v>4.5259400169039626E-3</v>
      </c>
      <c r="G8" s="163"/>
      <c r="H8" s="167">
        <v>14290.7</v>
      </c>
      <c r="I8" s="168">
        <f t="shared" si="1"/>
        <v>2.0815263188244851E-2</v>
      </c>
    </row>
    <row r="9" spans="2:9">
      <c r="B9" s="166">
        <v>45108</v>
      </c>
      <c r="C9" s="135">
        <v>652033.94999999995</v>
      </c>
      <c r="D9" s="163"/>
      <c r="E9" s="167">
        <v>267.31</v>
      </c>
      <c r="F9" s="168">
        <f t="shared" si="0"/>
        <v>4.0996331556048579E-4</v>
      </c>
      <c r="G9" s="163"/>
      <c r="H9" s="167">
        <v>1207.99</v>
      </c>
      <c r="I9" s="168">
        <f t="shared" si="1"/>
        <v>1.8526489303202695E-3</v>
      </c>
    </row>
    <row r="10" spans="2:9">
      <c r="B10" s="166">
        <v>45139</v>
      </c>
      <c r="C10" s="169">
        <v>1049545.1399999999</v>
      </c>
      <c r="D10" s="163"/>
      <c r="E10" s="167">
        <v>6159.99</v>
      </c>
      <c r="F10" s="170">
        <f t="shared" ref="F10:F15" si="2">+E10/C10</f>
        <v>5.8691996801585877E-3</v>
      </c>
      <c r="G10" s="163"/>
      <c r="H10" s="167">
        <v>28327.87</v>
      </c>
      <c r="I10" s="171">
        <f t="shared" ref="I10:I15" si="3">+H10/C10</f>
        <v>2.6990616144437582E-2</v>
      </c>
    </row>
    <row r="11" spans="2:9">
      <c r="B11" s="166">
        <v>45170</v>
      </c>
      <c r="C11" s="169">
        <v>596625.32999999996</v>
      </c>
      <c r="D11" s="163"/>
      <c r="E11" s="167">
        <v>157.28</v>
      </c>
      <c r="F11" s="170">
        <f t="shared" si="2"/>
        <v>2.6361602850485748E-4</v>
      </c>
      <c r="G11" s="163"/>
      <c r="H11" s="167">
        <v>837</v>
      </c>
      <c r="I11" s="171">
        <f t="shared" si="3"/>
        <v>1.4028904874018675E-3</v>
      </c>
    </row>
    <row r="12" spans="2:9">
      <c r="B12" s="166">
        <v>45200</v>
      </c>
      <c r="C12" s="169">
        <v>746272.02</v>
      </c>
      <c r="D12" s="163"/>
      <c r="E12" s="167">
        <v>951.48</v>
      </c>
      <c r="F12" s="170">
        <f t="shared" si="2"/>
        <v>1.2749774539316107E-3</v>
      </c>
      <c r="G12" s="163"/>
      <c r="H12" s="167">
        <v>4537.2700000000004</v>
      </c>
      <c r="I12" s="171">
        <f t="shared" si="3"/>
        <v>6.0799143990417871E-3</v>
      </c>
    </row>
    <row r="13" spans="2:9">
      <c r="B13" s="166">
        <v>45231</v>
      </c>
      <c r="C13" s="169">
        <v>719985.21</v>
      </c>
      <c r="D13" s="163"/>
      <c r="E13" s="167">
        <v>614.91999999999996</v>
      </c>
      <c r="F13" s="170">
        <f t="shared" si="2"/>
        <v>8.540730996404773E-4</v>
      </c>
      <c r="G13" s="163"/>
      <c r="H13" s="167">
        <v>2807.12</v>
      </c>
      <c r="I13" s="171">
        <f t="shared" si="3"/>
        <v>3.8988578668164588E-3</v>
      </c>
    </row>
    <row r="14" spans="2:9">
      <c r="B14" s="166">
        <v>45261</v>
      </c>
      <c r="C14" s="169">
        <v>937440.39</v>
      </c>
      <c r="D14" s="163"/>
      <c r="E14" s="167">
        <v>3816.87</v>
      </c>
      <c r="F14" s="170">
        <f t="shared" si="2"/>
        <v>4.0715868877806722E-3</v>
      </c>
      <c r="G14" s="163"/>
      <c r="H14" s="167">
        <v>17540.490000000002</v>
      </c>
      <c r="I14" s="171">
        <f t="shared" si="3"/>
        <v>1.8711045723131262E-2</v>
      </c>
    </row>
    <row r="15" spans="2:9" ht="15" thickBot="1">
      <c r="B15" s="180">
        <v>45292</v>
      </c>
      <c r="C15" s="181">
        <v>566595.69999999995</v>
      </c>
      <c r="D15" s="163"/>
      <c r="E15" s="172">
        <v>260.27999999999997</v>
      </c>
      <c r="F15" s="173">
        <f t="shared" si="2"/>
        <v>4.5937517704423099E-4</v>
      </c>
      <c r="G15" s="163"/>
      <c r="H15" s="172">
        <v>1179.6600000000001</v>
      </c>
      <c r="I15" s="174">
        <f t="shared" si="3"/>
        <v>2.08201368277239E-3</v>
      </c>
    </row>
    <row r="16" spans="2:9">
      <c r="B16" s="292" t="s">
        <v>32</v>
      </c>
      <c r="C16" s="294">
        <f>SUM(C4:C15)</f>
        <v>8354127.8199999994</v>
      </c>
      <c r="E16" s="296" t="s">
        <v>175</v>
      </c>
      <c r="F16" s="175">
        <f>SUM(F4:F15)/12</f>
        <v>1.7202073069227553E-3</v>
      </c>
      <c r="G16" s="176"/>
      <c r="H16" s="296" t="s">
        <v>175</v>
      </c>
      <c r="I16" s="175">
        <f>SUM(I4:I15)/12</f>
        <v>7.9584113825690948E-3</v>
      </c>
    </row>
    <row r="17" spans="2:9" ht="15" thickBot="1">
      <c r="B17" s="293"/>
      <c r="C17" s="295"/>
      <c r="E17" s="297"/>
      <c r="F17" s="177" t="s">
        <v>176</v>
      </c>
      <c r="G17" s="178"/>
      <c r="H17" s="297"/>
      <c r="I17" s="177" t="s">
        <v>177</v>
      </c>
    </row>
  </sheetData>
  <mergeCells count="6">
    <mergeCell ref="B2:I2"/>
    <mergeCell ref="B3:C3"/>
    <mergeCell ref="B16:B17"/>
    <mergeCell ref="C16:C17"/>
    <mergeCell ref="E16:E17"/>
    <mergeCell ref="H16:H17"/>
  </mergeCells>
  <pageMargins left="0.511811024" right="0.511811024" top="0.78740157499999996" bottom="0.78740157499999996" header="0.31496062000000002" footer="0.31496062000000002"/>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9</vt:i4>
      </vt:variant>
    </vt:vector>
  </HeadingPairs>
  <TitlesOfParts>
    <vt:vector size="18" baseType="lpstr">
      <vt:lpstr>ENCARGOS</vt:lpstr>
      <vt:lpstr>Resumo</vt:lpstr>
      <vt:lpstr>ASSISTENTE 1</vt:lpstr>
      <vt:lpstr>ASSISTENTE 2</vt:lpstr>
      <vt:lpstr>ANALISTA 1</vt:lpstr>
      <vt:lpstr>ANALISTA 2</vt:lpstr>
      <vt:lpstr>ANALISTA 3</vt:lpstr>
      <vt:lpstr>ANALISTA 4</vt:lpstr>
      <vt:lpstr>Calculo SPED</vt:lpstr>
      <vt:lpstr>'ANALISTA 1'!Area_de_impressao</vt:lpstr>
      <vt:lpstr>'ANALISTA 2'!Area_de_impressao</vt:lpstr>
      <vt:lpstr>'ANALISTA 3'!Area_de_impressao</vt:lpstr>
      <vt:lpstr>'ANALISTA 4'!Area_de_impressao</vt:lpstr>
      <vt:lpstr>'ASSISTENTE 1'!Area_de_impressao</vt:lpstr>
      <vt:lpstr>'ASSISTENTE 2'!Area_de_impressao</vt:lpstr>
      <vt:lpstr>'Calculo SPED'!Area_de_impressao</vt:lpstr>
      <vt:lpstr>ENCARGOS!Area_de_impressao</vt:lpstr>
      <vt:lpstr>Resumo!Area_de_impressao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OTAVIO CESAR MACIEL</dc:creator>
  <cp:lastModifiedBy>Pedro Henrique Linhares</cp:lastModifiedBy>
  <cp:lastPrinted>2024-02-23T12:57:35Z</cp:lastPrinted>
  <dcterms:created xsi:type="dcterms:W3CDTF">2019-02-06T13:13:29Z</dcterms:created>
  <dcterms:modified xsi:type="dcterms:W3CDTF">2024-03-13T14:21:37Z</dcterms:modified>
</cp:coreProperties>
</file>